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cripchenko.CORP\Desktop\РЕШЕНИЯ СОВЕТА\Решения Совета 2025 год\Решение СНД № 10\Поправка № 1\"/>
    </mc:Choice>
  </mc:AlternateContent>
  <bookViews>
    <workbookView xWindow="-120" yWindow="-120" windowWidth="29040" windowHeight="15720"/>
  </bookViews>
  <sheets>
    <sheet name="ДЧБ" sheetId="1" r:id="rId1"/>
  </sheets>
  <definedNames>
    <definedName name="APPT" localSheetId="0">ДЧБ!$A$14</definedName>
    <definedName name="FIO" localSheetId="0">ДЧБ!$J$14</definedName>
    <definedName name="LAST_CELL" localSheetId="0">ДЧБ!#REF!</definedName>
    <definedName name="SIGN" localSheetId="0">ДЧБ!$A$14:$L$16</definedName>
    <definedName name="_xlnm.Print_Titles" localSheetId="0">ДЧБ!$5:$5</definedName>
    <definedName name="_xlnm.Print_Area" localSheetId="0">ДЧБ!$A$1:$K$170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13" i="1" l="1"/>
  <c r="D115" i="1"/>
  <c r="K119" i="1"/>
  <c r="H119" i="1"/>
  <c r="E119" i="1"/>
  <c r="D134" i="1"/>
  <c r="K170" i="1"/>
  <c r="H170" i="1"/>
  <c r="D170" i="1"/>
  <c r="C170" i="1"/>
  <c r="E170" i="1" s="1"/>
  <c r="K169" i="1"/>
  <c r="H169" i="1"/>
  <c r="E169" i="1"/>
  <c r="K168" i="1"/>
  <c r="H168" i="1"/>
  <c r="E168" i="1"/>
  <c r="K167" i="1"/>
  <c r="H167" i="1"/>
  <c r="D167" i="1"/>
  <c r="E167" i="1" s="1"/>
  <c r="C167" i="1"/>
  <c r="J166" i="1"/>
  <c r="J165" i="1" s="1"/>
  <c r="I166" i="1"/>
  <c r="K166" i="1" s="1"/>
  <c r="G166" i="1"/>
  <c r="G165" i="1" s="1"/>
  <c r="F166" i="1"/>
  <c r="F165" i="1" s="1"/>
  <c r="E166" i="1"/>
  <c r="D165" i="1"/>
  <c r="E165" i="1" s="1"/>
  <c r="C165" i="1"/>
  <c r="K164" i="1"/>
  <c r="H164" i="1"/>
  <c r="D164" i="1"/>
  <c r="D163" i="1" s="1"/>
  <c r="C164" i="1"/>
  <c r="C163" i="1" s="1"/>
  <c r="J163" i="1"/>
  <c r="K163" i="1" s="1"/>
  <c r="I163" i="1"/>
  <c r="G163" i="1"/>
  <c r="F163" i="1"/>
  <c r="H163" i="1" s="1"/>
  <c r="K162" i="1"/>
  <c r="G162" i="1"/>
  <c r="H162" i="1" s="1"/>
  <c r="F162" i="1"/>
  <c r="D162" i="1"/>
  <c r="C162" i="1"/>
  <c r="E162" i="1" s="1"/>
  <c r="K161" i="1"/>
  <c r="K160" i="1" s="1"/>
  <c r="H161" i="1"/>
  <c r="E161" i="1"/>
  <c r="E160" i="1" s="1"/>
  <c r="J160" i="1"/>
  <c r="I160" i="1"/>
  <c r="G160" i="1"/>
  <c r="H160" i="1" s="1"/>
  <c r="F160" i="1"/>
  <c r="D160" i="1"/>
  <c r="C160" i="1"/>
  <c r="K159" i="1"/>
  <c r="H159" i="1"/>
  <c r="D159" i="1"/>
  <c r="E159" i="1" s="1"/>
  <c r="C159" i="1"/>
  <c r="K158" i="1"/>
  <c r="H158" i="1"/>
  <c r="D158" i="1"/>
  <c r="C158" i="1"/>
  <c r="K157" i="1"/>
  <c r="H157" i="1"/>
  <c r="E157" i="1"/>
  <c r="K156" i="1"/>
  <c r="H156" i="1"/>
  <c r="D156" i="1"/>
  <c r="C156" i="1"/>
  <c r="K155" i="1"/>
  <c r="H155" i="1"/>
  <c r="E155" i="1"/>
  <c r="D155" i="1"/>
  <c r="C155" i="1"/>
  <c r="K154" i="1"/>
  <c r="H154" i="1"/>
  <c r="D154" i="1"/>
  <c r="E154" i="1" s="1"/>
  <c r="C154" i="1"/>
  <c r="K153" i="1"/>
  <c r="H153" i="1"/>
  <c r="E153" i="1"/>
  <c r="J152" i="1"/>
  <c r="K152" i="1" s="1"/>
  <c r="I152" i="1"/>
  <c r="G152" i="1"/>
  <c r="H152" i="1" s="1"/>
  <c r="F152" i="1"/>
  <c r="D152" i="1"/>
  <c r="E152" i="1" s="1"/>
  <c r="C152" i="1"/>
  <c r="J151" i="1"/>
  <c r="K151" i="1" s="1"/>
  <c r="I151" i="1"/>
  <c r="G151" i="1"/>
  <c r="F151" i="1"/>
  <c r="D151" i="1"/>
  <c r="C151" i="1"/>
  <c r="J150" i="1"/>
  <c r="K150" i="1" s="1"/>
  <c r="I150" i="1"/>
  <c r="G150" i="1"/>
  <c r="H150" i="1" s="1"/>
  <c r="F150" i="1"/>
  <c r="D150" i="1"/>
  <c r="E150" i="1" s="1"/>
  <c r="C150" i="1"/>
  <c r="J149" i="1"/>
  <c r="K149" i="1" s="1"/>
  <c r="I149" i="1"/>
  <c r="G149" i="1"/>
  <c r="F149" i="1"/>
  <c r="D149" i="1"/>
  <c r="C149" i="1"/>
  <c r="J148" i="1"/>
  <c r="K148" i="1" s="1"/>
  <c r="I148" i="1"/>
  <c r="G148" i="1"/>
  <c r="H148" i="1" s="1"/>
  <c r="F148" i="1"/>
  <c r="D148" i="1"/>
  <c r="E148" i="1" s="1"/>
  <c r="C148" i="1"/>
  <c r="J147" i="1"/>
  <c r="I147" i="1"/>
  <c r="G147" i="1"/>
  <c r="F147" i="1"/>
  <c r="D147" i="1"/>
  <c r="C147" i="1"/>
  <c r="J146" i="1"/>
  <c r="K146" i="1" s="1"/>
  <c r="I146" i="1"/>
  <c r="G146" i="1"/>
  <c r="H146" i="1" s="1"/>
  <c r="F146" i="1"/>
  <c r="D146" i="1"/>
  <c r="E146" i="1" s="1"/>
  <c r="C146" i="1"/>
  <c r="K145" i="1"/>
  <c r="H145" i="1"/>
  <c r="E145" i="1"/>
  <c r="J144" i="1"/>
  <c r="I144" i="1"/>
  <c r="G144" i="1"/>
  <c r="H144" i="1" s="1"/>
  <c r="F144" i="1"/>
  <c r="D144" i="1"/>
  <c r="C144" i="1"/>
  <c r="K143" i="1"/>
  <c r="H143" i="1"/>
  <c r="E143" i="1"/>
  <c r="J142" i="1"/>
  <c r="K142" i="1" s="1"/>
  <c r="I142" i="1"/>
  <c r="G142" i="1"/>
  <c r="F142" i="1"/>
  <c r="D142" i="1"/>
  <c r="C142" i="1"/>
  <c r="K141" i="1"/>
  <c r="H141" i="1"/>
  <c r="D141" i="1"/>
  <c r="D139" i="1" s="1"/>
  <c r="C141" i="1"/>
  <c r="J140" i="1"/>
  <c r="I140" i="1"/>
  <c r="G140" i="1"/>
  <c r="H140" i="1" s="1"/>
  <c r="F140" i="1"/>
  <c r="D140" i="1"/>
  <c r="C140" i="1"/>
  <c r="E140" i="1" s="1"/>
  <c r="F139" i="1"/>
  <c r="K138" i="1"/>
  <c r="D138" i="1"/>
  <c r="E138" i="1" s="1"/>
  <c r="C138" i="1"/>
  <c r="K137" i="1"/>
  <c r="H137" i="1"/>
  <c r="E137" i="1"/>
  <c r="J136" i="1"/>
  <c r="I136" i="1"/>
  <c r="G136" i="1"/>
  <c r="H136" i="1" s="1"/>
  <c r="F136" i="1"/>
  <c r="D136" i="1"/>
  <c r="C136" i="1"/>
  <c r="J135" i="1"/>
  <c r="K135" i="1" s="1"/>
  <c r="I135" i="1"/>
  <c r="G135" i="1"/>
  <c r="F135" i="1"/>
  <c r="D135" i="1"/>
  <c r="C135" i="1"/>
  <c r="K134" i="1"/>
  <c r="H134" i="1"/>
  <c r="C134" i="1"/>
  <c r="J133" i="1"/>
  <c r="I133" i="1"/>
  <c r="G133" i="1"/>
  <c r="F133" i="1"/>
  <c r="D133" i="1"/>
  <c r="E133" i="1" s="1"/>
  <c r="C133" i="1"/>
  <c r="K131" i="1"/>
  <c r="H131" i="1"/>
  <c r="E131" i="1"/>
  <c r="K130" i="1"/>
  <c r="H130" i="1"/>
  <c r="E130" i="1"/>
  <c r="K129" i="1"/>
  <c r="H129" i="1"/>
  <c r="E129" i="1"/>
  <c r="K128" i="1"/>
  <c r="H128" i="1"/>
  <c r="E128" i="1"/>
  <c r="K127" i="1"/>
  <c r="H127" i="1"/>
  <c r="D127" i="1"/>
  <c r="E127" i="1" s="1"/>
  <c r="C127" i="1"/>
  <c r="J126" i="1"/>
  <c r="I126" i="1"/>
  <c r="K126" i="1" s="1"/>
  <c r="G126" i="1"/>
  <c r="H126" i="1" s="1"/>
  <c r="F126" i="1"/>
  <c r="D126" i="1"/>
  <c r="E126" i="1" s="1"/>
  <c r="C126" i="1"/>
  <c r="C117" i="1" s="1"/>
  <c r="K125" i="1"/>
  <c r="G125" i="1"/>
  <c r="F125" i="1"/>
  <c r="H125" i="1" s="1"/>
  <c r="D125" i="1"/>
  <c r="E125" i="1" s="1"/>
  <c r="C125" i="1"/>
  <c r="K124" i="1"/>
  <c r="H124" i="1"/>
  <c r="E124" i="1"/>
  <c r="J123" i="1"/>
  <c r="K123" i="1" s="1"/>
  <c r="I123" i="1"/>
  <c r="G123" i="1"/>
  <c r="F123" i="1"/>
  <c r="H123" i="1" s="1"/>
  <c r="D123" i="1"/>
  <c r="E123" i="1" s="1"/>
  <c r="C123" i="1"/>
  <c r="K122" i="1"/>
  <c r="H122" i="1"/>
  <c r="E122" i="1"/>
  <c r="K121" i="1"/>
  <c r="H121" i="1"/>
  <c r="E121" i="1"/>
  <c r="K120" i="1"/>
  <c r="H120" i="1"/>
  <c r="E120" i="1"/>
  <c r="J118" i="1"/>
  <c r="J117" i="1" s="1"/>
  <c r="I118" i="1"/>
  <c r="I117" i="1" s="1"/>
  <c r="G118" i="1"/>
  <c r="F118" i="1"/>
  <c r="D118" i="1"/>
  <c r="E118" i="1" s="1"/>
  <c r="C118" i="1"/>
  <c r="G117" i="1"/>
  <c r="K116" i="1"/>
  <c r="H116" i="1"/>
  <c r="E116" i="1"/>
  <c r="J115" i="1"/>
  <c r="I115" i="1"/>
  <c r="K115" i="1" s="1"/>
  <c r="G115" i="1"/>
  <c r="H115" i="1" s="1"/>
  <c r="F115" i="1"/>
  <c r="C115" i="1"/>
  <c r="E115" i="1" s="1"/>
  <c r="K114" i="1"/>
  <c r="H114" i="1"/>
  <c r="E114" i="1"/>
  <c r="J113" i="1"/>
  <c r="I113" i="1"/>
  <c r="G113" i="1"/>
  <c r="H113" i="1" s="1"/>
  <c r="F113" i="1"/>
  <c r="C113" i="1"/>
  <c r="K112" i="1"/>
  <c r="H112" i="1"/>
  <c r="D112" i="1"/>
  <c r="C112" i="1"/>
  <c r="E112" i="1" s="1"/>
  <c r="H111" i="1"/>
  <c r="E111" i="1"/>
  <c r="K110" i="1"/>
  <c r="H110" i="1"/>
  <c r="E110" i="1"/>
  <c r="J109" i="1"/>
  <c r="K109" i="1" s="1"/>
  <c r="I109" i="1"/>
  <c r="G109" i="1"/>
  <c r="F109" i="1"/>
  <c r="D109" i="1"/>
  <c r="E109" i="1" s="1"/>
  <c r="C109" i="1"/>
  <c r="K108" i="1"/>
  <c r="H108" i="1"/>
  <c r="E108" i="1"/>
  <c r="H107" i="1"/>
  <c r="E107" i="1"/>
  <c r="H106" i="1"/>
  <c r="E106" i="1"/>
  <c r="AA105" i="1"/>
  <c r="H105" i="1"/>
  <c r="D105" i="1"/>
  <c r="C105" i="1"/>
  <c r="K103" i="1"/>
  <c r="K102" i="1" s="1"/>
  <c r="H103" i="1"/>
  <c r="D103" i="1"/>
  <c r="C103" i="1"/>
  <c r="C102" i="1" s="1"/>
  <c r="J102" i="1"/>
  <c r="I102" i="1"/>
  <c r="G102" i="1"/>
  <c r="F102" i="1"/>
  <c r="H102" i="1" s="1"/>
  <c r="D102" i="1"/>
  <c r="K99" i="1"/>
  <c r="K98" i="1" s="1"/>
  <c r="H99" i="1"/>
  <c r="D99" i="1"/>
  <c r="E99" i="1" s="1"/>
  <c r="E98" i="1" s="1"/>
  <c r="C99" i="1"/>
  <c r="C98" i="1" s="1"/>
  <c r="J98" i="1"/>
  <c r="I98" i="1"/>
  <c r="G98" i="1"/>
  <c r="F98" i="1"/>
  <c r="E97" i="1"/>
  <c r="K96" i="1"/>
  <c r="K95" i="1" s="1"/>
  <c r="H96" i="1"/>
  <c r="D96" i="1"/>
  <c r="C96" i="1"/>
  <c r="J95" i="1"/>
  <c r="I95" i="1"/>
  <c r="G95" i="1"/>
  <c r="H95" i="1" s="1"/>
  <c r="F95" i="1"/>
  <c r="D95" i="1"/>
  <c r="E95" i="1" s="1"/>
  <c r="C95" i="1"/>
  <c r="K94" i="1"/>
  <c r="H94" i="1"/>
  <c r="E94" i="1"/>
  <c r="E93" i="1" s="1"/>
  <c r="K93" i="1"/>
  <c r="J93" i="1"/>
  <c r="I93" i="1"/>
  <c r="G93" i="1"/>
  <c r="H93" i="1" s="1"/>
  <c r="F93" i="1"/>
  <c r="D93" i="1"/>
  <c r="C93" i="1"/>
  <c r="K92" i="1"/>
  <c r="H92" i="1"/>
  <c r="E92" i="1"/>
  <c r="K91" i="1"/>
  <c r="K90" i="1" s="1"/>
  <c r="H91" i="1"/>
  <c r="E91" i="1"/>
  <c r="J90" i="1"/>
  <c r="I90" i="1"/>
  <c r="G90" i="1"/>
  <c r="F90" i="1"/>
  <c r="D90" i="1"/>
  <c r="C90" i="1"/>
  <c r="J89" i="1"/>
  <c r="K89" i="1" s="1"/>
  <c r="I89" i="1"/>
  <c r="G89" i="1"/>
  <c r="F89" i="1"/>
  <c r="D89" i="1"/>
  <c r="E89" i="1" s="1"/>
  <c r="C89" i="1"/>
  <c r="J88" i="1"/>
  <c r="I88" i="1"/>
  <c r="G88" i="1"/>
  <c r="F88" i="1"/>
  <c r="D88" i="1"/>
  <c r="C88" i="1"/>
  <c r="K87" i="1"/>
  <c r="H87" i="1"/>
  <c r="E87" i="1"/>
  <c r="K86" i="1"/>
  <c r="H86" i="1"/>
  <c r="E86" i="1"/>
  <c r="K85" i="1"/>
  <c r="H85" i="1"/>
  <c r="E85" i="1"/>
  <c r="K84" i="1"/>
  <c r="H84" i="1"/>
  <c r="E84" i="1"/>
  <c r="J83" i="1"/>
  <c r="K83" i="1" s="1"/>
  <c r="I83" i="1"/>
  <c r="G83" i="1"/>
  <c r="F83" i="1"/>
  <c r="D83" i="1"/>
  <c r="E83" i="1" s="1"/>
  <c r="C83" i="1"/>
  <c r="K82" i="1"/>
  <c r="H82" i="1"/>
  <c r="E82" i="1"/>
  <c r="J81" i="1"/>
  <c r="K81" i="1" s="1"/>
  <c r="I81" i="1"/>
  <c r="G81" i="1"/>
  <c r="H81" i="1" s="1"/>
  <c r="F81" i="1"/>
  <c r="D81" i="1"/>
  <c r="C81" i="1"/>
  <c r="J80" i="1"/>
  <c r="J77" i="1" s="1"/>
  <c r="J76" i="1" s="1"/>
  <c r="I80" i="1"/>
  <c r="G80" i="1"/>
  <c r="F80" i="1"/>
  <c r="D80" i="1"/>
  <c r="E80" i="1" s="1"/>
  <c r="C80" i="1"/>
  <c r="E79" i="1"/>
  <c r="J78" i="1"/>
  <c r="K78" i="1" s="1"/>
  <c r="I78" i="1"/>
  <c r="G78" i="1"/>
  <c r="F78" i="1"/>
  <c r="F77" i="1" s="1"/>
  <c r="F76" i="1" s="1"/>
  <c r="E78" i="1"/>
  <c r="D78" i="1"/>
  <c r="C78" i="1"/>
  <c r="C77" i="1" s="1"/>
  <c r="C76" i="1" s="1"/>
  <c r="I77" i="1"/>
  <c r="I76" i="1" s="1"/>
  <c r="K75" i="1"/>
  <c r="K74" i="1" s="1"/>
  <c r="H75" i="1"/>
  <c r="D75" i="1"/>
  <c r="E75" i="1" s="1"/>
  <c r="E74" i="1" s="1"/>
  <c r="C75" i="1"/>
  <c r="C74" i="1" s="1"/>
  <c r="J74" i="1"/>
  <c r="I74" i="1"/>
  <c r="G74" i="1"/>
  <c r="H74" i="1" s="1"/>
  <c r="F74" i="1"/>
  <c r="K73" i="1"/>
  <c r="H73" i="1"/>
  <c r="E73" i="1"/>
  <c r="K72" i="1"/>
  <c r="H72" i="1"/>
  <c r="E72" i="1"/>
  <c r="E71" i="1" s="1"/>
  <c r="E70" i="1" s="1"/>
  <c r="K71" i="1"/>
  <c r="J71" i="1"/>
  <c r="J70" i="1" s="1"/>
  <c r="I71" i="1"/>
  <c r="I70" i="1" s="1"/>
  <c r="G71" i="1"/>
  <c r="G70" i="1" s="1"/>
  <c r="F71" i="1"/>
  <c r="F70" i="1" s="1"/>
  <c r="D71" i="1"/>
  <c r="C71" i="1"/>
  <c r="C70" i="1" s="1"/>
  <c r="K69" i="1"/>
  <c r="K68" i="1" s="1"/>
  <c r="K67" i="1" s="1"/>
  <c r="H69" i="1"/>
  <c r="D69" i="1"/>
  <c r="D68" i="1" s="1"/>
  <c r="D67" i="1" s="1"/>
  <c r="C69" i="1"/>
  <c r="J68" i="1"/>
  <c r="J67" i="1" s="1"/>
  <c r="I68" i="1"/>
  <c r="I67" i="1" s="1"/>
  <c r="G68" i="1"/>
  <c r="G67" i="1" s="1"/>
  <c r="H67" i="1" s="1"/>
  <c r="F68" i="1"/>
  <c r="F67" i="1" s="1"/>
  <c r="C68" i="1"/>
  <c r="C67" i="1" s="1"/>
  <c r="K66" i="1"/>
  <c r="H66" i="1"/>
  <c r="E66" i="1"/>
  <c r="K65" i="1"/>
  <c r="H65" i="1"/>
  <c r="E65" i="1"/>
  <c r="K64" i="1"/>
  <c r="H64" i="1"/>
  <c r="E64" i="1"/>
  <c r="K63" i="1"/>
  <c r="H63" i="1"/>
  <c r="E63" i="1"/>
  <c r="J62" i="1"/>
  <c r="J61" i="1" s="1"/>
  <c r="I62" i="1"/>
  <c r="I61" i="1" s="1"/>
  <c r="H62" i="1"/>
  <c r="G62" i="1"/>
  <c r="G61" i="1" s="1"/>
  <c r="H61" i="1" s="1"/>
  <c r="F62" i="1"/>
  <c r="D62" i="1"/>
  <c r="D61" i="1" s="1"/>
  <c r="C62" i="1"/>
  <c r="C61" i="1" s="1"/>
  <c r="F61" i="1"/>
  <c r="E60" i="1"/>
  <c r="E59" i="1"/>
  <c r="K58" i="1"/>
  <c r="H58" i="1"/>
  <c r="H57" i="1" s="1"/>
  <c r="E58" i="1"/>
  <c r="K57" i="1"/>
  <c r="J57" i="1"/>
  <c r="I57" i="1"/>
  <c r="I51" i="1" s="1"/>
  <c r="G57" i="1"/>
  <c r="F57" i="1"/>
  <c r="D57" i="1"/>
  <c r="C57" i="1"/>
  <c r="K56" i="1"/>
  <c r="H56" i="1"/>
  <c r="E56" i="1"/>
  <c r="E52" i="1" s="1"/>
  <c r="K55" i="1"/>
  <c r="H55" i="1"/>
  <c r="E55" i="1"/>
  <c r="K54" i="1"/>
  <c r="H54" i="1"/>
  <c r="E54" i="1"/>
  <c r="K53" i="1"/>
  <c r="H53" i="1"/>
  <c r="E53" i="1"/>
  <c r="J52" i="1"/>
  <c r="J51" i="1" s="1"/>
  <c r="I52" i="1"/>
  <c r="G52" i="1"/>
  <c r="G51" i="1" s="1"/>
  <c r="F52" i="1"/>
  <c r="F51" i="1" s="1"/>
  <c r="D52" i="1"/>
  <c r="D51" i="1" s="1"/>
  <c r="C52" i="1"/>
  <c r="K50" i="1"/>
  <c r="H50" i="1"/>
  <c r="E50" i="1"/>
  <c r="E49" i="1"/>
  <c r="K48" i="1"/>
  <c r="K47" i="1" s="1"/>
  <c r="H48" i="1"/>
  <c r="D48" i="1"/>
  <c r="D47" i="1" s="1"/>
  <c r="C48" i="1"/>
  <c r="C47" i="1" s="1"/>
  <c r="L47" i="1"/>
  <c r="J47" i="1"/>
  <c r="I47" i="1"/>
  <c r="G47" i="1"/>
  <c r="F47" i="1"/>
  <c r="H47" i="1" s="1"/>
  <c r="K46" i="1"/>
  <c r="H46" i="1"/>
  <c r="E46" i="1"/>
  <c r="K45" i="1"/>
  <c r="K44" i="1" s="1"/>
  <c r="H45" i="1"/>
  <c r="E45" i="1"/>
  <c r="J44" i="1"/>
  <c r="I44" i="1"/>
  <c r="G44" i="1"/>
  <c r="H44" i="1" s="1"/>
  <c r="F44" i="1"/>
  <c r="D44" i="1"/>
  <c r="C44" i="1"/>
  <c r="K43" i="1"/>
  <c r="H43" i="1"/>
  <c r="E43" i="1"/>
  <c r="E42" i="1" s="1"/>
  <c r="K42" i="1"/>
  <c r="J42" i="1"/>
  <c r="I42" i="1"/>
  <c r="G42" i="1"/>
  <c r="G41" i="1" s="1"/>
  <c r="F42" i="1"/>
  <c r="F41" i="1" s="1"/>
  <c r="D42" i="1"/>
  <c r="D41" i="1" s="1"/>
  <c r="C42" i="1"/>
  <c r="J41" i="1"/>
  <c r="I41" i="1"/>
  <c r="K40" i="1"/>
  <c r="K39" i="1" s="1"/>
  <c r="H40" i="1"/>
  <c r="E40" i="1"/>
  <c r="E39" i="1" s="1"/>
  <c r="J39" i="1"/>
  <c r="I39" i="1"/>
  <c r="G39" i="1"/>
  <c r="H39" i="1" s="1"/>
  <c r="F39" i="1"/>
  <c r="D39" i="1"/>
  <c r="C39" i="1"/>
  <c r="K38" i="1"/>
  <c r="H38" i="1"/>
  <c r="E38" i="1"/>
  <c r="E37" i="1" s="1"/>
  <c r="K37" i="1"/>
  <c r="J37" i="1"/>
  <c r="I37" i="1"/>
  <c r="G37" i="1"/>
  <c r="F37" i="1"/>
  <c r="H37" i="1" s="1"/>
  <c r="D37" i="1"/>
  <c r="C37" i="1"/>
  <c r="K36" i="1"/>
  <c r="H36" i="1"/>
  <c r="E36" i="1"/>
  <c r="K35" i="1"/>
  <c r="H35" i="1"/>
  <c r="D35" i="1"/>
  <c r="E35" i="1" s="1"/>
  <c r="C35" i="1"/>
  <c r="K34" i="1"/>
  <c r="H34" i="1"/>
  <c r="E34" i="1"/>
  <c r="K33" i="1"/>
  <c r="H33" i="1"/>
  <c r="D33" i="1"/>
  <c r="D32" i="1" s="1"/>
  <c r="C33" i="1"/>
  <c r="J32" i="1"/>
  <c r="J31" i="1" s="1"/>
  <c r="I32" i="1"/>
  <c r="I31" i="1" s="1"/>
  <c r="G32" i="1"/>
  <c r="F32" i="1"/>
  <c r="F31" i="1"/>
  <c r="K30" i="1"/>
  <c r="H30" i="1"/>
  <c r="E30" i="1"/>
  <c r="K29" i="1"/>
  <c r="H29" i="1"/>
  <c r="E29" i="1"/>
  <c r="K28" i="1"/>
  <c r="H28" i="1"/>
  <c r="E28" i="1"/>
  <c r="K27" i="1"/>
  <c r="K26" i="1" s="1"/>
  <c r="K25" i="1" s="1"/>
  <c r="H27" i="1"/>
  <c r="E27" i="1"/>
  <c r="J26" i="1"/>
  <c r="J25" i="1" s="1"/>
  <c r="I26" i="1"/>
  <c r="I25" i="1" s="1"/>
  <c r="G26" i="1"/>
  <c r="G25" i="1" s="1"/>
  <c r="F26" i="1"/>
  <c r="F25" i="1" s="1"/>
  <c r="D26" i="1"/>
  <c r="D25" i="1" s="1"/>
  <c r="C26" i="1"/>
  <c r="C25" i="1" s="1"/>
  <c r="D24" i="1"/>
  <c r="E24" i="1" s="1"/>
  <c r="C24" i="1"/>
  <c r="D23" i="1"/>
  <c r="E23" i="1" s="1"/>
  <c r="C23" i="1"/>
  <c r="K22" i="1"/>
  <c r="H22" i="1"/>
  <c r="D22" i="1"/>
  <c r="C22" i="1"/>
  <c r="K21" i="1"/>
  <c r="H21" i="1"/>
  <c r="D21" i="1"/>
  <c r="E21" i="1" s="1"/>
  <c r="C21" i="1"/>
  <c r="K20" i="1"/>
  <c r="H20" i="1"/>
  <c r="D20" i="1"/>
  <c r="C20" i="1"/>
  <c r="K19" i="1"/>
  <c r="H19" i="1"/>
  <c r="D19" i="1"/>
  <c r="C19" i="1"/>
  <c r="K18" i="1"/>
  <c r="H18" i="1"/>
  <c r="D18" i="1"/>
  <c r="C18" i="1"/>
  <c r="E18" i="1" s="1"/>
  <c r="K17" i="1"/>
  <c r="H17" i="1"/>
  <c r="D17" i="1"/>
  <c r="C17" i="1"/>
  <c r="K16" i="1"/>
  <c r="H16" i="1"/>
  <c r="D16" i="1"/>
  <c r="E16" i="1" s="1"/>
  <c r="C16" i="1"/>
  <c r="E15" i="1"/>
  <c r="K14" i="1"/>
  <c r="H14" i="1"/>
  <c r="D14" i="1"/>
  <c r="C14" i="1"/>
  <c r="E14" i="1" s="1"/>
  <c r="K13" i="1"/>
  <c r="H13" i="1"/>
  <c r="E13" i="1"/>
  <c r="D13" i="1"/>
  <c r="C13" i="1"/>
  <c r="K12" i="1"/>
  <c r="H12" i="1"/>
  <c r="D12" i="1"/>
  <c r="C12" i="1"/>
  <c r="K11" i="1"/>
  <c r="H11" i="1"/>
  <c r="D11" i="1"/>
  <c r="E11" i="1" s="1"/>
  <c r="C11" i="1"/>
  <c r="K10" i="1"/>
  <c r="H10" i="1"/>
  <c r="D10" i="1"/>
  <c r="C10" i="1"/>
  <c r="J9" i="1"/>
  <c r="J8" i="1" s="1"/>
  <c r="I9" i="1"/>
  <c r="I8" i="1" s="1"/>
  <c r="I7" i="1" s="1"/>
  <c r="G9" i="1"/>
  <c r="F9" i="1"/>
  <c r="F8" i="1" s="1"/>
  <c r="G8" i="1"/>
  <c r="K165" i="1" l="1"/>
  <c r="C9" i="1"/>
  <c r="C8" i="1" s="1"/>
  <c r="C7" i="1" s="1"/>
  <c r="E19" i="1"/>
  <c r="E22" i="1"/>
  <c r="C32" i="1"/>
  <c r="C31" i="1" s="1"/>
  <c r="G77" i="1"/>
  <c r="H83" i="1"/>
  <c r="H89" i="1"/>
  <c r="H135" i="1"/>
  <c r="E144" i="1"/>
  <c r="D31" i="1"/>
  <c r="E48" i="1"/>
  <c r="E47" i="1" s="1"/>
  <c r="E69" i="1"/>
  <c r="E68" i="1" s="1"/>
  <c r="E67" i="1" s="1"/>
  <c r="H78" i="1"/>
  <c r="E81" i="1"/>
  <c r="D98" i="1"/>
  <c r="H165" i="1"/>
  <c r="K52" i="1"/>
  <c r="K51" i="1" s="1"/>
  <c r="I104" i="1"/>
  <c r="F132" i="1"/>
  <c r="C139" i="1"/>
  <c r="C132" i="1" s="1"/>
  <c r="H166" i="1"/>
  <c r="K32" i="1"/>
  <c r="K31" i="1" s="1"/>
  <c r="H52" i="1"/>
  <c r="H98" i="1"/>
  <c r="E142" i="1"/>
  <c r="E147" i="1"/>
  <c r="E149" i="1"/>
  <c r="E151" i="1"/>
  <c r="E164" i="1"/>
  <c r="E17" i="1"/>
  <c r="E20" i="1"/>
  <c r="C41" i="1"/>
  <c r="E88" i="1"/>
  <c r="E136" i="1"/>
  <c r="K144" i="1"/>
  <c r="E57" i="1"/>
  <c r="E51" i="1" s="1"/>
  <c r="E62" i="1"/>
  <c r="E61" i="1" s="1"/>
  <c r="G104" i="1"/>
  <c r="H142" i="1"/>
  <c r="H147" i="1"/>
  <c r="H149" i="1"/>
  <c r="H151" i="1"/>
  <c r="H9" i="1"/>
  <c r="K9" i="1"/>
  <c r="K8" i="1" s="1"/>
  <c r="G31" i="1"/>
  <c r="H31" i="1" s="1"/>
  <c r="C51" i="1"/>
  <c r="H88" i="1"/>
  <c r="H90" i="1"/>
  <c r="E77" i="1"/>
  <c r="E76" i="1" s="1"/>
  <c r="E117" i="1"/>
  <c r="J139" i="1"/>
  <c r="J132" i="1" s="1"/>
  <c r="J101" i="1" s="1"/>
  <c r="J104" i="1"/>
  <c r="E26" i="1"/>
  <c r="E25" i="1" s="1"/>
  <c r="K88" i="1"/>
  <c r="F117" i="1"/>
  <c r="H117" i="1" s="1"/>
  <c r="K136" i="1"/>
  <c r="I139" i="1"/>
  <c r="I132" i="1" s="1"/>
  <c r="I101" i="1" s="1"/>
  <c r="I100" i="1" s="1"/>
  <c r="I6" i="1" s="1"/>
  <c r="D9" i="1"/>
  <c r="D8" i="1" s="1"/>
  <c r="D7" i="1" s="1"/>
  <c r="H32" i="1"/>
  <c r="E44" i="1"/>
  <c r="E41" i="1" s="1"/>
  <c r="D74" i="1"/>
  <c r="D70" i="1" s="1"/>
  <c r="D77" i="1"/>
  <c r="D76" i="1" s="1"/>
  <c r="H80" i="1"/>
  <c r="E90" i="1"/>
  <c r="E96" i="1"/>
  <c r="H109" i="1"/>
  <c r="I165" i="1"/>
  <c r="K41" i="1"/>
  <c r="K62" i="1"/>
  <c r="K61" i="1" s="1"/>
  <c r="C104" i="1"/>
  <c r="C101" i="1" s="1"/>
  <c r="C100" i="1" s="1"/>
  <c r="E135" i="1"/>
  <c r="E158" i="1"/>
  <c r="F104" i="1"/>
  <c r="F101" i="1" s="1"/>
  <c r="F100" i="1" s="1"/>
  <c r="H70" i="1"/>
  <c r="G76" i="1"/>
  <c r="H76" i="1" s="1"/>
  <c r="H77" i="1"/>
  <c r="G7" i="1"/>
  <c r="H25" i="1"/>
  <c r="H51" i="1"/>
  <c r="K70" i="1"/>
  <c r="J7" i="1"/>
  <c r="H41" i="1"/>
  <c r="E163" i="1"/>
  <c r="F7" i="1"/>
  <c r="H8" i="1"/>
  <c r="H26" i="1"/>
  <c r="E33" i="1"/>
  <c r="E32" i="1" s="1"/>
  <c r="E31" i="1" s="1"/>
  <c r="H71" i="1"/>
  <c r="K80" i="1"/>
  <c r="K77" i="1" s="1"/>
  <c r="K76" i="1" s="1"/>
  <c r="K7" i="1" s="1"/>
  <c r="D117" i="1"/>
  <c r="D104" i="1" s="1"/>
  <c r="D132" i="1"/>
  <c r="H133" i="1"/>
  <c r="G139" i="1"/>
  <c r="H139" i="1" s="1"/>
  <c r="K147" i="1"/>
  <c r="H68" i="1"/>
  <c r="E103" i="1"/>
  <c r="E102" i="1" s="1"/>
  <c r="E113" i="1"/>
  <c r="H118" i="1"/>
  <c r="K140" i="1"/>
  <c r="E156" i="1"/>
  <c r="E105" i="1"/>
  <c r="K133" i="1"/>
  <c r="E12" i="1"/>
  <c r="H42" i="1"/>
  <c r="K118" i="1"/>
  <c r="K117" i="1" s="1"/>
  <c r="E141" i="1"/>
  <c r="E10" i="1"/>
  <c r="K113" i="1"/>
  <c r="K107" i="1" s="1"/>
  <c r="K106" i="1" s="1"/>
  <c r="K105" i="1" s="1"/>
  <c r="K104" i="1" s="1"/>
  <c r="E134" i="1"/>
  <c r="E139" i="1" l="1"/>
  <c r="E132" i="1" s="1"/>
  <c r="E9" i="1"/>
  <c r="E8" i="1" s="1"/>
  <c r="E7" i="1" s="1"/>
  <c r="F6" i="1"/>
  <c r="H104" i="1"/>
  <c r="J100" i="1"/>
  <c r="K100" i="1" s="1"/>
  <c r="K6" i="1" s="1"/>
  <c r="K101" i="1"/>
  <c r="H7" i="1"/>
  <c r="E104" i="1"/>
  <c r="K139" i="1"/>
  <c r="C6" i="1"/>
  <c r="D101" i="1"/>
  <c r="K132" i="1"/>
  <c r="G132" i="1"/>
  <c r="J6" i="1" l="1"/>
  <c r="H132" i="1"/>
  <c r="G101" i="1"/>
  <c r="D100" i="1"/>
  <c r="E101" i="1"/>
  <c r="H101" i="1" l="1"/>
  <c r="G100" i="1"/>
  <c r="E100" i="1"/>
  <c r="E6" i="1" s="1"/>
  <c r="D6" i="1"/>
  <c r="H100" i="1" l="1"/>
  <c r="H6" i="1" s="1"/>
  <c r="G6" i="1"/>
</calcChain>
</file>

<file path=xl/sharedStrings.xml><?xml version="1.0" encoding="utf-8"?>
<sst xmlns="http://schemas.openxmlformats.org/spreadsheetml/2006/main" count="344" uniqueCount="311">
  <si>
    <t>Приложение № 1 к пояснительной записке</t>
  </si>
  <si>
    <t>Доходы городского бюджета на 2025 год и плановый период 2026-2027 годов</t>
  </si>
  <si>
    <t>(рублей)</t>
  </si>
  <si>
    <t>КВД</t>
  </si>
  <si>
    <t>Наименование КВД</t>
  </si>
  <si>
    <t xml:space="preserve">2025 год 10 решение </t>
  </si>
  <si>
    <t>Отклонение 2025 год</t>
  </si>
  <si>
    <t xml:space="preserve">2026 год 10 решение </t>
  </si>
  <si>
    <t>Отклонение    2026 год</t>
  </si>
  <si>
    <t xml:space="preserve">2027 год 10 решение </t>
  </si>
  <si>
    <t>Отклонение 2027 год</t>
  </si>
  <si>
    <t>Итого</t>
  </si>
  <si>
    <t>Доходы бюджет -всего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</si>
  <si>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</si>
  <si>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</si>
  <si>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</si>
  <si>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</si>
  <si>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</si>
  <si>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</si>
  <si>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</si>
  <si>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</si>
  <si>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</si>
  <si>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</si>
  <si>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1 01 02021 01 1000 110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</si>
  <si>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 (сумма платежа (перерасчеты, недоимка и задолженность по соответствующему платежу, в том числе по отмененному)</t>
  </si>
  <si>
    <t>1 01 02022 01 1000 110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</si>
  <si>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 (сумма платежа (перерасчеты, недоимка и задолженность по соответствующему платежу, в том числе по отмененному)</t>
  </si>
  <si>
    <t>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</si>
  <si>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</si>
  <si>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</si>
  <si>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Федерации)"</t>
  </si>
  <si>
    <t>1 01 02040 01 1000 110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</si>
  <si>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</si>
  <si>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1 01 02080 01 1000 110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</si>
  <si>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 (сумма платежа (перерасчеты, недоимка и задолженность по соответствующему платежу, в том числе по отмененному)</t>
  </si>
  <si>
    <t>1 01 02130 01 1000 110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</si>
  <si>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</si>
  <si>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1 01 02140 01 1000 110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</si>
  <si>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</si>
  <si>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1 01 02150 01 1000 110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</si>
  <si>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</si>
  <si>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1 01 02160 01 1000 110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</si>
  <si>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</si>
  <si>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1 01 02170 01 1000 110</t>
  </si>
  <si>
    <t>Налог на доходы физических лиц в части суммы налога, превышающей 9 402 тысячи рублей, относящейся к части налоговой базы, превышающей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</si>
  <si>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101 0221 001 1000 110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</si>
  <si>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</si>
  <si>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101 0223 001 1000 110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</si>
  <si>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</si>
  <si>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</si>
  <si>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</si>
  <si>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</si>
  <si>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</si>
  <si>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</si>
  <si>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</si>
  <si>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</si>
  <si>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</si>
  <si>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</si>
  <si>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</si>
  <si>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</si>
  <si>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</si>
  <si>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</si>
  <si>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</si>
  <si>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</si>
  <si>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</si>
  <si>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</si>
  <si>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</si>
  <si>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1 05 01011 01 3000 110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</si>
  <si>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</si>
  <si>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1 05 01021 01 1000 110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</si>
  <si>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(сумма платежа (перерасчеты, недоимка и задолженность по соответствующему платежу, в том числе по отмененному)</t>
  </si>
  <si>
    <t>1 05 01021 01 3000 110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</si>
  <si>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(суммы денежных взысканий (штрафов) по соответствующему платежу согласно законодательству Российской Федерации)</t>
  </si>
  <si>
    <t>1 05 03000 01 0000 110</t>
  </si>
  <si>
    <t>Единый сельскохозяйственный налог</t>
  </si>
  <si>
    <t>1 05 03010 01 1000 110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</si>
  <si>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</si>
  <si>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1 05 04000 02 0000 110</t>
  </si>
  <si>
    <t>Налог, взимаемый в связи с применением патентной системы налогообложения</t>
  </si>
  <si>
    <t>1 05 04010 02 1000 110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</si>
  <si>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</si>
  <si>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</si>
  <si>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</si>
  <si>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</si>
  <si>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</si>
  <si>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</si>
  <si>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</si>
  <si>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1 06 06000 00 0000 110</t>
  </si>
  <si>
    <t>Земельный налог</t>
  </si>
  <si>
    <t>1 06 06032 04 1000 110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</si>
  <si>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</si>
  <si>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</si>
  <si>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</si>
  <si>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1 08 00000 00 0000 000</t>
  </si>
  <si>
    <t>ГОСУДАРСТВЕННАЯ ПОШЛИНА</t>
  </si>
  <si>
    <t>1 08 03010 01 1050 110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</si>
  <si>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</si>
  <si>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</si>
  <si>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</si>
  <si>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1 08 07150 01 4000 110</t>
  </si>
  <si>
    <t>Государственная пошлина за выдачу разрешения на установку рекламной конструкции(прочие поступления)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</si>
  <si>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</si>
  <si>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</si>
  <si>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</si>
  <si>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</si>
  <si>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</si>
  <si>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</si>
  <si>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1 11 05012 04 0001 120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</si>
  <si>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(по искам)</t>
  </si>
  <si>
    <t>1 11 05012 04 0002 120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</si>
  <si>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( за фактическое (неосеновательное обогощение )без заключенных договоров аренды)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</si>
  <si>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</si>
  <si>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</si>
  <si>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</si>
  <si>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</si>
  <si>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</si>
  <si>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</si>
  <si>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</si>
  <si>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</si>
  <si>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11109080040000120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</si>
  <si>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</si>
  <si>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</si>
  <si>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</si>
  <si>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</si>
  <si>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</si>
  <si>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</si>
  <si>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</si>
  <si>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</si>
  <si>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</si>
  <si>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</si>
  <si>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</si>
  <si>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</si>
  <si>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</si>
  <si>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</si>
  <si>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</si>
  <si>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</si>
  <si>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</si>
  <si>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</si>
  <si>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</si>
  <si>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</si>
  <si>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</si>
  <si>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</si>
  <si>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</si>
  <si>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</si>
  <si>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</si>
  <si>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</si>
  <si>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</si>
  <si>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</si>
  <si>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</si>
  <si>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</si>
  <si>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</si>
  <si>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</si>
  <si>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</si>
  <si>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</si>
  <si>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</si>
  <si>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</si>
  <si>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прав(иные штрафы)</t>
  </si>
  <si>
    <t>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</si>
  <si>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</si>
  <si>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</si>
  <si>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</si>
  <si>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</si>
  <si>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(иные штрафы)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</si>
  <si>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</si>
  <si>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</si>
  <si>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1 16 01113 01 9000 140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</si>
  <si>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</si>
  <si>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</si>
  <si>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</si>
  <si>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1 16 01153 01 9000 140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</si>
  <si>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</si>
  <si>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</si>
  <si>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</si>
  <si>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1 16 01173 01 9000 140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</si>
  <si>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</si>
  <si>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</si>
  <si>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</si>
  <si>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</si>
  <si>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</si>
  <si>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</si>
  <si>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</si>
  <si>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1 16 01332 01 0000 140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</si>
  <si>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</si>
  <si>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</si>
  <si>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</si>
  <si>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</si>
  <si>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</si>
  <si>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</si>
  <si>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</si>
  <si>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</si>
  <si>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</si>
  <si>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</si>
  <si>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</si>
  <si>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</si>
  <si>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</si>
  <si>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1 16 10000 00 0000 140</t>
  </si>
  <si>
    <t>Платежи в целях возмещения причиненного ущерба (убытков)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</si>
  <si>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</si>
  <si>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</si>
  <si>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</si>
  <si>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</si>
  <si>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</si>
  <si>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</si>
  <si>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</si>
  <si>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</si>
  <si>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</si>
  <si>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</si>
  <si>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</si>
  <si>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</si>
  <si>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</si>
  <si>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</si>
  <si>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</si>
  <si>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</si>
  <si>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</si>
  <si>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</si>
  <si>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2 02 25081 04 0000 150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</si>
  <si>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</si>
  <si>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2 02 25417 04 0000 150</t>
  </si>
  <si>
    <t>Субсидии бюджетам городских округов на финансовое обеспечение дорожной деятельности опорных населенных пунктов от 20 тысяч человек Дальневосточного федерального округа</t>
  </si>
  <si>
    <t>2 02 25424 04 0000 150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</si>
  <si>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</si>
  <si>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2 02 25454 04 0000 150 </t>
  </si>
  <si>
    <t>Субсидии бюджетам городских округов на создание модельных муниципальных библиотек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</si>
  <si>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</si>
  <si>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</si>
  <si>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2 02 25505 04 0000 150</t>
  </si>
  <si>
    <t>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</si>
  <si>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2 02 25514 04 0000 150</t>
  </si>
  <si>
    <t>Субсидии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</si>
  <si>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</si>
  <si>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</si>
  <si>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2 02 25753 04 0000 150</t>
  </si>
  <si>
    <t>Субсидии бюджетам городских округов на софинансирование закупки и монтажа оборудования для создания "умных" спортивных площадок</t>
  </si>
  <si>
    <t>2 02 29999 04 0000 150</t>
  </si>
  <si>
    <t xml:space="preserve">Прочие субсидии бюджетам городских округов, в т.ч. </t>
  </si>
  <si>
    <t xml:space="preserve">Субсидии бюджетам городских округов на частичную оплату стоимости путевок для детей работающих граждан в организации отдыха и оздоровления детей в каникулярное время </t>
  </si>
  <si>
    <t>Субсидии бюджетам городских округов на обеспечение бесплатным двухразовым питанием детей с ограниченными возможностями здоровья обучающихся в муниципальных общеобразовательных организациях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</si>
  <si>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общеобразовательных организаций</t>
  </si>
  <si>
    <t>Субсидии бюджетам муниципальных образований на софинансирование расходов, связанных с развитием аппаратно-программного комплекса "Безопасный город"</t>
  </si>
  <si>
    <t xml:space="preserve"> 2 02 29999 04 0000 150</t>
  </si>
  <si>
    <t>Субсидия бюджетам муниципальных образований на 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</si>
  <si>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Субсидия бюджетам муниципальных образований на региональную поддержку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</si>
  <si>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Субсидия бюджетам муниципальных образований на софинансирование мероприятий, направленных на модернизацию коммунальной инфраструктуры</t>
  </si>
  <si>
    <t>Субсидии бюджетам муниципальных образований на проведение комплексных кадастровых работ</t>
  </si>
  <si>
    <t>Субсидия бюджетам муниципальных образований на обустройство остановок для школьных маршрутов, а также освещение улично-дорожной сети населенных пунктов Амурской области</t>
  </si>
  <si>
    <t xml:space="preserve">Субсидия местным бюджетам на реализацию мероприятий по ремонту фасадов и (или) крыш зданий, строений и иных сооружений.
</t>
  </si>
  <si>
    <t>2 02 39999 04 0000 150</t>
  </si>
  <si>
    <t>Субвенции местным бюджетам на софинасирование проведения мероприятий по замене в общеобразовательных организациях деревянных окон на металлопластиковые</t>
  </si>
  <si>
    <t>Субсидия бюджетам муниципальных образований на софинансирование мероприятий по созданию школьного кафе в общеобразовательных организациях</t>
  </si>
  <si>
    <t>2 02 30000 00 0000 150</t>
  </si>
  <si>
    <t>Субвенции бюджетам бюджетной системы Российской Федерации</t>
  </si>
  <si>
    <t>2 02 30027 04 0000 150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</si>
  <si>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</si>
  <si>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</si>
  <si>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</si>
  <si>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</si>
  <si>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</si>
  <si>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</si>
  <si>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</si>
  <si>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</si>
  <si>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</si>
  <si>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</si>
  <si>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</si>
  <si>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субвенции бюджетам городских округов</t>
  </si>
  <si>
    <t>Субвенции бюджетам городских округов на 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</si>
  <si>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планируется). 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</si>
  <si>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</si>
  <si>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 xml:space="preserve">2 02 39999 04 0000 150 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</si>
  <si>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</si>
  <si>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бюджетам городских округов на финансовое обеспечение государственных полномочий по организационному обеспечению деятельности административных комиссий</t>
  </si>
  <si>
    <t>Субвенции бюджетам городских округов на 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</si>
  <si>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Субвенции бюджетам городских округов на финансовое обеспечение государственных полномочий по компенсации выпадающих доходов теплоснабжающих организаций</t>
  </si>
  <si>
    <t>Субвенции бюджетам городских округов на финансовое обеспечение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</si>
  <si>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указанных в статьях 29 и 30 Гражданского кодекса Российской Федерации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</si>
  <si>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</si>
  <si>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Субвенции бюджетам городских округов на 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N 125-ФЗ "О жилищных субсидиях гражданам, выезжающим из районов Крайнего Севера и приравненных к ним местностей".</t>
  </si>
  <si>
    <t>Субвенции бюджетам городских округов на 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</si>
  <si>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Субвенции бюджетам городских округов на 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</si>
  <si>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Субвенция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</si>
  <si>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</si>
  <si>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</si>
  <si>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Субвенции бюджетам муниципальных образований на организацию бесплатного горячего питания обучающихся в муниципальных образовательных организациях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</si>
  <si>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 xml:space="preserve">Субвенции местным бюджетам на финансовое обеспечение государственного полномочия Амурской области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 </t>
  </si>
  <si>
    <t>Субвенции местным бюджетам 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Федерации.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</si>
  <si>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</si>
  <si>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2 02 40000 00 0000 150</t>
  </si>
  <si>
    <t>Иные межбюджетные трансферты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</si>
  <si>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</si>
  <si>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</si>
  <si>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2 02 49999 04 0000 150</t>
  </si>
  <si>
    <t>Прочие межбюджетные трансферты, передаваемые бюджетам городских округов</t>
  </si>
  <si>
    <t>2 18 00000 04 0000 150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</si>
  <si>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</si>
  <si>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</si>
  <si>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</si>
  <si>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 xml:space="preserve">2 19 00000 00 0000 000 </t>
  </si>
  <si>
    <t>ВОЗВРАТ ОСТАТКОВ СУБСИДИЙ, СУБВЕНЦИЙ И ИНЫХ МЕЖБЮДЖЕТНЫХ ТРАНСФЕРТОВ, ИМЕЮЩИХ ЦЕЛЕВОЕ НАЗНАЧЕНИЕ, ПРОШЛЫХ ЛЕТ</t>
  </si>
  <si>
    <t xml:space="preserve"> 2 19 35303 04 0000 150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</si>
  <si>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</si>
  <si>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2 19 35304 04 0000 150</t>
  </si>
  <si>
    <t>Возврат остатков субвенций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</si>
  <si>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2 19 45424 04 0000 150</t>
  </si>
  <si>
    <t>Возврат остатков иных межбюджетных трансфертов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из бюджетов городских округов</t>
  </si>
  <si>
    <t>2 19 45505 04 0000 150</t>
  </si>
  <si>
    <t>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из бюджетов городских округов</t>
  </si>
  <si>
    <t xml:space="preserve">2 19 60010 04 0000 150 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</si>
  <si>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 </t>
  </si>
  <si>
    <t>Субсидии бюджетам городских округов на реализацию мероприятий по дополнительному финансовому обеспечению деятельности групп продленного дня в муниципальных образовательных организациях для обучающихся начальных классов</t>
  </si>
  <si>
    <t xml:space="preserve">2025 год 9 решение </t>
  </si>
  <si>
    <t xml:space="preserve">2026 год 9 решение </t>
  </si>
  <si>
    <t xml:space="preserve">2027 год 9 решение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</si>
</sst>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"/>
    <numFmt numFmtId="165" formatCode="?"/>
  </numFmts>
  <fonts count="14">
    <font>
      <sz val="10"/>
      <name val="Arial"/>
      <charset val="134"/>
    </font>
    <font>
      <sz val="11"/>
      <name val="Times New Roman"/>
      <charset val="204"/>
    </font>
    <font>
      <sz val="10"/>
      <name val="Times New Roman"/>
      <charset val="204"/>
    </font>
    <font>
      <b/>
      <sz val="12"/>
      <name val="Times New Roman"/>
      <charset val="204"/>
    </font>
    <font>
      <sz val="8.5"/>
      <name val="Times New Roman"/>
      <charset val="204"/>
    </font>
    <font>
      <sz val="12"/>
      <name val="Times New Roman"/>
      <charset val="204"/>
    </font>
    <font>
      <b/>
      <sz val="20"/>
      <name val="Times New Roman"/>
      <charset val="204"/>
    </font>
    <font>
      <b/>
      <sz val="10"/>
      <name val="Times New Roman"/>
      <charset val="204"/>
    </font>
    <font>
      <b/>
      <sz val="11"/>
      <name val="Times New Roman"/>
      <charset val="204"/>
    </font>
    <font>
      <b/>
      <sz val="14"/>
      <name val="Times New Roman"/>
      <charset val="204"/>
    </font>
    <font>
      <sz val="14"/>
      <name val="Times New Roman"/>
      <charset val="204"/>
    </font>
    <font>
      <i/>
      <sz val="10"/>
      <name val="Times New Roman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Border="1" applyAlignment="1" applyProtection="1">
      <alignment horizontal="left" wrapText="1"/>
    </xf>
    <xf numFmtId="0" fontId="2" fillId="2" borderId="0" xfId="0" applyFont="1" applyFill="1" applyBorder="1" applyAlignment="1" applyProtection="1">
      <alignment horizontal="left" wrapText="1"/>
    </xf>
    <xf numFmtId="0" fontId="1" fillId="2" borderId="0" xfId="0" applyFont="1" applyFill="1" applyBorder="1" applyAlignment="1" applyProtection="1"/>
    <xf numFmtId="0" fontId="2" fillId="2" borderId="0" xfId="0" applyFont="1" applyFill="1" applyBorder="1" applyAlignment="1" applyProtection="1"/>
    <xf numFmtId="0" fontId="4" fillId="2" borderId="0" xfId="0" applyFont="1" applyFill="1" applyBorder="1" applyAlignment="1" applyProtection="1"/>
    <xf numFmtId="0" fontId="6" fillId="2" borderId="0" xfId="0" applyFont="1" applyFill="1" applyBorder="1" applyAlignment="1" applyProtection="1">
      <alignment horizontal="left"/>
    </xf>
    <xf numFmtId="0" fontId="7" fillId="2" borderId="0" xfId="0" applyFont="1" applyFill="1" applyBorder="1" applyAlignment="1" applyProtection="1">
      <alignment horizontal="center"/>
    </xf>
    <xf numFmtId="0" fontId="8" fillId="2" borderId="0" xfId="0" applyFont="1" applyFill="1" applyBorder="1" applyAlignment="1" applyProtection="1">
      <alignment horizontal="center"/>
    </xf>
    <xf numFmtId="49" fontId="8" fillId="2" borderId="1" xfId="0" applyNumberFormat="1" applyFont="1" applyFill="1" applyBorder="1" applyAlignment="1" applyProtection="1">
      <alignment horizontal="center" vertical="center" wrapText="1"/>
    </xf>
    <xf numFmtId="49" fontId="8" fillId="2" borderId="1" xfId="0" applyNumberFormat="1" applyFont="1" applyFill="1" applyBorder="1" applyAlignment="1" applyProtection="1">
      <alignment horizontal="center"/>
    </xf>
    <xf numFmtId="49" fontId="9" fillId="2" borderId="1" xfId="0" applyNumberFormat="1" applyFont="1" applyFill="1" applyBorder="1" applyAlignment="1" applyProtection="1">
      <alignment horizontal="left"/>
    </xf>
    <xf numFmtId="4" fontId="4" fillId="2" borderId="0" xfId="0" applyNumberFormat="1" applyFont="1" applyFill="1" applyBorder="1" applyAlignment="1" applyProtection="1">
      <alignment horizontal="center" vertical="center" wrapText="1"/>
    </xf>
    <xf numFmtId="4" fontId="4" fillId="2" borderId="0" xfId="0" applyNumberFormat="1" applyFont="1" applyFill="1" applyBorder="1" applyAlignment="1" applyProtection="1">
      <alignment horizontal="center" vertical="center"/>
    </xf>
    <xf numFmtId="4" fontId="8" fillId="2" borderId="0" xfId="0" applyNumberFormat="1" applyFont="1" applyFill="1" applyBorder="1" applyAlignment="1" applyProtection="1">
      <alignment horizontal="center" vertical="center"/>
    </xf>
    <xf numFmtId="4" fontId="8" fillId="2" borderId="1" xfId="0" applyNumberFormat="1" applyFont="1" applyFill="1" applyBorder="1" applyAlignment="1" applyProtection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4" fontId="5" fillId="2" borderId="0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49" fontId="1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left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164" fontId="2" fillId="0" borderId="0" xfId="0" applyNumberFormat="1" applyFont="1" applyFill="1"/>
    <xf numFmtId="165" fontId="7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right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Fill="1"/>
    <xf numFmtId="164" fontId="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164" fontId="2" fillId="0" borderId="3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vertical="top" wrapText="1"/>
    </xf>
    <xf numFmtId="164" fontId="1" fillId="0" borderId="3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 applyProtection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49" fontId="2" fillId="0" borderId="4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left" vertical="center" wrapText="1"/>
    </xf>
    <xf numFmtId="0" fontId="1" fillId="0" borderId="0" xfId="0" applyFont="1" applyFill="1"/>
    <xf numFmtId="4" fontId="2" fillId="0" borderId="0" xfId="0" applyNumberFormat="1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A302"/>
  <sheetViews>
    <sheetView showGridLines="0" tabSelected="1" zoomScaleSheetLayoutView="87" workbookViewId="0">
      <pane xSplit="2" ySplit="6" topLeftCell="C7" activePane="bottomRight" state="frozen"/>
      <selection pane="topRight"/>
      <selection pane="bottomLeft"/>
      <selection pane="bottomRight" activeCell="C10" sqref="C10"/>
    </sheetView>
  </sheetViews>
  <sheetFormatPr defaultColWidth="9.140625" defaultRowHeight="12.75" customHeight="1" outlineLevelRow="3"/>
  <cols>
    <col min="1" max="1" width="23.28515625" style="1" customWidth="1"/>
    <col min="2" max="2" width="55.42578125" style="2" customWidth="1"/>
    <col min="3" max="4" width="19" style="19" customWidth="1"/>
    <col min="5" max="5" width="20" style="19" customWidth="1"/>
    <col min="6" max="7" width="19" style="19" customWidth="1"/>
    <col min="8" max="8" width="17.85546875" style="19" customWidth="1"/>
    <col min="9" max="11" width="19" style="19" customWidth="1"/>
    <col min="12" max="14" width="9.140625" style="2" customWidth="1"/>
    <col min="15" max="16384" width="9.140625" style="2"/>
  </cols>
  <sheetData>
    <row r="1" spans="1:14" ht="12.75" customHeight="1">
      <c r="A1" s="3"/>
      <c r="B1" s="4"/>
      <c r="C1" s="14"/>
      <c r="D1" s="14"/>
      <c r="E1" s="14"/>
      <c r="F1" s="14"/>
      <c r="G1" s="14"/>
      <c r="H1" s="14"/>
      <c r="K1" s="20"/>
      <c r="L1" s="7"/>
      <c r="M1" s="7"/>
      <c r="N1" s="7"/>
    </row>
    <row r="2" spans="1:14" ht="15.75">
      <c r="A2" s="5"/>
      <c r="B2" s="6"/>
      <c r="C2" s="15"/>
      <c r="D2" s="15"/>
      <c r="E2" s="15"/>
      <c r="F2" s="15"/>
      <c r="G2" s="15"/>
      <c r="H2" s="21" t="s">
        <v>0</v>
      </c>
      <c r="I2" s="21"/>
      <c r="J2" s="15"/>
      <c r="K2" s="15"/>
      <c r="L2" s="7"/>
      <c r="M2" s="7"/>
      <c r="N2" s="7"/>
    </row>
    <row r="3" spans="1:14" ht="25.5">
      <c r="A3" s="8" t="s">
        <v>1</v>
      </c>
      <c r="B3" s="9"/>
      <c r="C3" s="16"/>
      <c r="D3" s="16"/>
      <c r="E3" s="16"/>
      <c r="F3" s="16"/>
      <c r="G3" s="16"/>
      <c r="H3" s="16"/>
      <c r="I3" s="16"/>
      <c r="J3" s="16"/>
      <c r="K3" s="16"/>
      <c r="L3" s="10"/>
      <c r="M3" s="10"/>
      <c r="N3" s="10"/>
    </row>
    <row r="4" spans="1:14" ht="15">
      <c r="A4" s="5"/>
      <c r="B4" s="6"/>
      <c r="C4" s="15"/>
      <c r="D4" s="15"/>
      <c r="E4" s="15"/>
      <c r="F4" s="15"/>
      <c r="G4" s="15"/>
      <c r="H4" s="15"/>
      <c r="I4" s="15"/>
      <c r="J4" s="15"/>
      <c r="K4" s="15" t="s">
        <v>2</v>
      </c>
      <c r="L4" s="7"/>
      <c r="M4" s="7"/>
      <c r="N4" s="7"/>
    </row>
    <row r="5" spans="1:14" s="1" customFormat="1" ht="28.5">
      <c r="A5" s="11" t="s">
        <v>3</v>
      </c>
      <c r="B5" s="11" t="s">
        <v>4</v>
      </c>
      <c r="C5" s="17" t="s">
        <v>308</v>
      </c>
      <c r="D5" s="17" t="s">
        <v>5</v>
      </c>
      <c r="E5" s="17" t="s">
        <v>6</v>
      </c>
      <c r="F5" s="17" t="s">
        <v>309</v>
      </c>
      <c r="G5" s="17" t="s">
        <v>7</v>
      </c>
      <c r="H5" s="17" t="s">
        <v>8</v>
      </c>
      <c r="I5" s="17" t="s">
        <v>310</v>
      </c>
      <c r="J5" s="17" t="s">
        <v>9</v>
      </c>
      <c r="K5" s="17" t="s">
        <v>10</v>
      </c>
    </row>
    <row r="6" spans="1:14" ht="18.75">
      <c r="A6" s="12" t="s">
        <v>11</v>
      </c>
      <c r="B6" s="13" t="s">
        <v>12</v>
      </c>
      <c r="C6" s="18">
        <f>C7+C100</f>
        <v>7273637885.2600002</v>
      </c>
      <c r="D6" s="18">
        <f>D7+D100</f>
        <v>7699698565.8899994</v>
      </c>
      <c r="E6" s="18">
        <f t="shared" ref="E6:K6" si="0">E7+E100</f>
        <v>426060680.63000011</v>
      </c>
      <c r="F6" s="18">
        <f t="shared" si="0"/>
        <v>5503574598</v>
      </c>
      <c r="G6" s="18">
        <f t="shared" si="0"/>
        <v>5921285271.1300001</v>
      </c>
      <c r="H6" s="18">
        <f t="shared" si="0"/>
        <v>417710673.12999964</v>
      </c>
      <c r="I6" s="18">
        <f t="shared" si="0"/>
        <v>4048368460.9299998</v>
      </c>
      <c r="J6" s="18">
        <f t="shared" si="0"/>
        <v>4048368460.9299998</v>
      </c>
      <c r="K6" s="18">
        <f t="shared" si="0"/>
        <v>0</v>
      </c>
    </row>
    <row r="7" spans="1:14" s="25" customFormat="1" ht="28.5">
      <c r="A7" s="22" t="s">
        <v>13</v>
      </c>
      <c r="B7" s="23" t="s">
        <v>14</v>
      </c>
      <c r="C7" s="24">
        <f>C8+C25+C31+C41+C47+C51+C61+C67+C70+C76</f>
        <v>3597675175.27</v>
      </c>
      <c r="D7" s="24">
        <f>D8+D25+D31+D41+D47+D51+D61+D67+D70+D76</f>
        <v>3597675175.27</v>
      </c>
      <c r="E7" s="24">
        <f t="shared" ref="E7:K7" si="1">E8+E25+E31+E41+E47+E51+E61+E67+E70+E76</f>
        <v>0</v>
      </c>
      <c r="F7" s="24">
        <f t="shared" si="1"/>
        <v>1914627978.53</v>
      </c>
      <c r="G7" s="24">
        <f t="shared" si="1"/>
        <v>1914627978.53</v>
      </c>
      <c r="H7" s="24">
        <f t="shared" ref="H7:H76" si="2">G7-F7</f>
        <v>0</v>
      </c>
      <c r="I7" s="24">
        <f>I8+I25+I31+I41+I47+I51+I61+I67+I70+I76</f>
        <v>1757945439</v>
      </c>
      <c r="J7" s="24">
        <f t="shared" si="1"/>
        <v>1757945439</v>
      </c>
      <c r="K7" s="24">
        <f t="shared" si="1"/>
        <v>0</v>
      </c>
    </row>
    <row r="8" spans="1:14" s="25" customFormat="1" ht="28.5" outlineLevel="1">
      <c r="A8" s="22" t="s">
        <v>15</v>
      </c>
      <c r="B8" s="23" t="s">
        <v>16</v>
      </c>
      <c r="C8" s="24">
        <f>C9</f>
        <v>3145022000</v>
      </c>
      <c r="D8" s="24">
        <f>D9</f>
        <v>3145022000</v>
      </c>
      <c r="E8" s="24">
        <f t="shared" ref="E8:K8" si="3">E9</f>
        <v>0</v>
      </c>
      <c r="F8" s="24">
        <f t="shared" si="3"/>
        <v>1640445000</v>
      </c>
      <c r="G8" s="24">
        <f t="shared" si="3"/>
        <v>1640445000</v>
      </c>
      <c r="H8" s="24">
        <f t="shared" si="2"/>
        <v>0</v>
      </c>
      <c r="I8" s="24">
        <f>I9</f>
        <v>1476052600</v>
      </c>
      <c r="J8" s="24">
        <f t="shared" si="3"/>
        <v>1476052600</v>
      </c>
      <c r="K8" s="24">
        <f t="shared" si="3"/>
        <v>0</v>
      </c>
    </row>
    <row r="9" spans="1:14" s="25" customFormat="1" ht="28.5" outlineLevel="2">
      <c r="A9" s="22" t="s">
        <v>17</v>
      </c>
      <c r="B9" s="23" t="s">
        <v>18</v>
      </c>
      <c r="C9" s="24">
        <f>SUM(C10:C24)</f>
        <v>3145022000</v>
      </c>
      <c r="D9" s="24">
        <f t="shared" ref="D9:F9" si="4">SUM(D10:D24)</f>
        <v>3145022000</v>
      </c>
      <c r="E9" s="24">
        <f t="shared" si="4"/>
        <v>0</v>
      </c>
      <c r="F9" s="24">
        <f t="shared" si="4"/>
        <v>1640445000</v>
      </c>
      <c r="G9" s="24">
        <f t="shared" ref="G9" si="5">SUM(G10:G24)</f>
        <v>1640445000</v>
      </c>
      <c r="H9" s="24">
        <f t="shared" ref="H9:I9" si="6">SUM(H10:H24)</f>
        <v>0</v>
      </c>
      <c r="I9" s="24">
        <f t="shared" si="6"/>
        <v>1476052600</v>
      </c>
      <c r="J9" s="24">
        <f t="shared" ref="J9" si="7">SUM(J10:J24)</f>
        <v>1476052600</v>
      </c>
      <c r="K9" s="24">
        <f t="shared" ref="K9" si="8">SUM(K10:K24)</f>
        <v>0</v>
      </c>
    </row>
    <row r="10" spans="1:14" s="25" customFormat="1" ht="204" outlineLevel="3">
      <c r="A10" s="26" t="s">
        <v>19</v>
      </c>
      <c r="B10" s="27" t="s">
        <v>20</v>
      </c>
      <c r="C10" s="28">
        <f>1281404400+163623600+257365000</f>
        <v>1702393000</v>
      </c>
      <c r="D10" s="28">
        <f>1281404400+163623600+257365000</f>
        <v>1702393000</v>
      </c>
      <c r="E10" s="28">
        <f t="shared" ref="E10:E73" si="9">D10-C10</f>
        <v>0</v>
      </c>
      <c r="F10" s="28">
        <v>1153178200</v>
      </c>
      <c r="G10" s="28">
        <v>1153178200</v>
      </c>
      <c r="H10" s="28">
        <f t="shared" si="2"/>
        <v>0</v>
      </c>
      <c r="I10" s="28">
        <v>1037778800</v>
      </c>
      <c r="J10" s="28">
        <v>1037778800</v>
      </c>
      <c r="K10" s="28">
        <f t="shared" ref="K10:K73" si="10">J10-I10</f>
        <v>0</v>
      </c>
    </row>
    <row r="11" spans="1:14" s="25" customFormat="1" ht="165.75" outlineLevel="3">
      <c r="A11" s="26" t="s">
        <v>21</v>
      </c>
      <c r="B11" s="27" t="s">
        <v>22</v>
      </c>
      <c r="C11" s="28">
        <f>1042200-209200+209000</f>
        <v>1042000</v>
      </c>
      <c r="D11" s="28">
        <f>1042200-209200+209000</f>
        <v>1042000</v>
      </c>
      <c r="E11" s="28">
        <f t="shared" si="9"/>
        <v>0</v>
      </c>
      <c r="F11" s="28">
        <v>938000</v>
      </c>
      <c r="G11" s="28">
        <v>938000</v>
      </c>
      <c r="H11" s="28">
        <f t="shared" si="2"/>
        <v>0</v>
      </c>
      <c r="I11" s="28">
        <v>844200</v>
      </c>
      <c r="J11" s="28">
        <v>844200</v>
      </c>
      <c r="K11" s="28">
        <f t="shared" si="10"/>
        <v>0</v>
      </c>
    </row>
    <row r="12" spans="1:14" s="25" customFormat="1" ht="153" outlineLevel="3">
      <c r="A12" s="26" t="s">
        <v>23</v>
      </c>
      <c r="B12" s="27" t="s">
        <v>24</v>
      </c>
      <c r="C12" s="28">
        <f>152400-147400</f>
        <v>5000</v>
      </c>
      <c r="D12" s="28">
        <f>152400-147400</f>
        <v>5000</v>
      </c>
      <c r="E12" s="28">
        <f t="shared" si="9"/>
        <v>0</v>
      </c>
      <c r="F12" s="28">
        <v>137300</v>
      </c>
      <c r="G12" s="28">
        <v>137300</v>
      </c>
      <c r="H12" s="28">
        <f t="shared" si="2"/>
        <v>0</v>
      </c>
      <c r="I12" s="28">
        <v>123500</v>
      </c>
      <c r="J12" s="28">
        <v>123500</v>
      </c>
      <c r="K12" s="28">
        <f t="shared" si="10"/>
        <v>0</v>
      </c>
    </row>
    <row r="13" spans="1:14" s="25" customFormat="1" ht="153" outlineLevel="3">
      <c r="A13" s="26" t="s">
        <v>25</v>
      </c>
      <c r="B13" s="27" t="s">
        <v>26</v>
      </c>
      <c r="C13" s="28">
        <f>27300-27300</f>
        <v>0</v>
      </c>
      <c r="D13" s="28">
        <f>27300-27300</f>
        <v>0</v>
      </c>
      <c r="E13" s="28">
        <f t="shared" si="9"/>
        <v>0</v>
      </c>
      <c r="F13" s="28">
        <v>24600</v>
      </c>
      <c r="G13" s="28">
        <v>24600</v>
      </c>
      <c r="H13" s="28">
        <f t="shared" si="2"/>
        <v>0</v>
      </c>
      <c r="I13" s="28">
        <v>22000</v>
      </c>
      <c r="J13" s="28">
        <v>22000</v>
      </c>
      <c r="K13" s="28">
        <f t="shared" si="10"/>
        <v>0</v>
      </c>
    </row>
    <row r="14" spans="1:14" s="25" customFormat="1" ht="140.25" outlineLevel="3">
      <c r="A14" s="26" t="s">
        <v>27</v>
      </c>
      <c r="B14" s="27" t="s">
        <v>28</v>
      </c>
      <c r="C14" s="28">
        <f>6110200+1067800-1069000</f>
        <v>6109000</v>
      </c>
      <c r="D14" s="28">
        <f>6110200+1067800-1069000</f>
        <v>6109000</v>
      </c>
      <c r="E14" s="28">
        <f t="shared" si="9"/>
        <v>0</v>
      </c>
      <c r="F14" s="28">
        <v>5499200</v>
      </c>
      <c r="G14" s="28">
        <v>5499200</v>
      </c>
      <c r="H14" s="28">
        <f t="shared" si="2"/>
        <v>0</v>
      </c>
      <c r="I14" s="28">
        <v>4949200</v>
      </c>
      <c r="J14" s="28">
        <v>4949200</v>
      </c>
      <c r="K14" s="28">
        <f t="shared" si="10"/>
        <v>0</v>
      </c>
    </row>
    <row r="15" spans="1:14" s="25" customFormat="1" ht="153.75" customHeight="1" outlineLevel="3">
      <c r="A15" s="29" t="s">
        <v>29</v>
      </c>
      <c r="B15" s="30" t="s">
        <v>30</v>
      </c>
      <c r="C15" s="28">
        <v>1000</v>
      </c>
      <c r="D15" s="28">
        <v>1000</v>
      </c>
      <c r="E15" s="28">
        <f t="shared" si="9"/>
        <v>0</v>
      </c>
      <c r="F15" s="28"/>
      <c r="G15" s="28"/>
      <c r="H15" s="28"/>
      <c r="I15" s="28"/>
      <c r="J15" s="28"/>
      <c r="K15" s="28"/>
    </row>
    <row r="16" spans="1:14" s="25" customFormat="1" ht="102" outlineLevel="3">
      <c r="A16" s="26" t="s">
        <v>31</v>
      </c>
      <c r="B16" s="27" t="s">
        <v>32</v>
      </c>
      <c r="C16" s="28">
        <f>241881500+2615500+65292000</f>
        <v>309789000</v>
      </c>
      <c r="D16" s="28">
        <f>241881500+2615500+65292000</f>
        <v>309789000</v>
      </c>
      <c r="E16" s="28">
        <f t="shared" si="9"/>
        <v>0</v>
      </c>
      <c r="F16" s="28">
        <v>217693400</v>
      </c>
      <c r="G16" s="28">
        <v>217693400</v>
      </c>
      <c r="H16" s="28">
        <f t="shared" si="2"/>
        <v>0</v>
      </c>
      <c r="I16" s="28">
        <v>195924000</v>
      </c>
      <c r="J16" s="28">
        <v>195924000</v>
      </c>
      <c r="K16" s="28">
        <f t="shared" si="10"/>
        <v>0</v>
      </c>
    </row>
    <row r="17" spans="1:11" s="25" customFormat="1" ht="408" outlineLevel="3">
      <c r="A17" s="26" t="s">
        <v>33</v>
      </c>
      <c r="B17" s="27" t="s">
        <v>34</v>
      </c>
      <c r="C17" s="28">
        <f>206963600+65830400</f>
        <v>272794000</v>
      </c>
      <c r="D17" s="28">
        <f>206963600+65830400</f>
        <v>272794000</v>
      </c>
      <c r="E17" s="28">
        <f t="shared" si="9"/>
        <v>0</v>
      </c>
      <c r="F17" s="28">
        <v>186267400</v>
      </c>
      <c r="G17" s="28">
        <v>186267400</v>
      </c>
      <c r="H17" s="28">
        <f t="shared" si="2"/>
        <v>0</v>
      </c>
      <c r="I17" s="28">
        <v>167640600</v>
      </c>
      <c r="J17" s="28">
        <v>167640600</v>
      </c>
      <c r="K17" s="28">
        <f t="shared" si="10"/>
        <v>0</v>
      </c>
    </row>
    <row r="18" spans="1:11" s="25" customFormat="1" ht="114.75" outlineLevel="3">
      <c r="A18" s="26" t="s">
        <v>35</v>
      </c>
      <c r="B18" s="27" t="s">
        <v>36</v>
      </c>
      <c r="C18" s="28">
        <f>2233400-172400+172000</f>
        <v>2233000</v>
      </c>
      <c r="D18" s="28">
        <f>2233400-172400+172000</f>
        <v>2233000</v>
      </c>
      <c r="E18" s="28">
        <f t="shared" si="9"/>
        <v>0</v>
      </c>
      <c r="F18" s="28">
        <v>1744200</v>
      </c>
      <c r="G18" s="28">
        <v>1744200</v>
      </c>
      <c r="H18" s="28">
        <f t="shared" si="2"/>
        <v>0</v>
      </c>
      <c r="I18" s="28">
        <v>1304000</v>
      </c>
      <c r="J18" s="28">
        <v>1304000</v>
      </c>
      <c r="K18" s="28">
        <f t="shared" si="10"/>
        <v>0</v>
      </c>
    </row>
    <row r="19" spans="1:11" s="25" customFormat="1" ht="114.75" outlineLevel="3">
      <c r="A19" s="26" t="s">
        <v>37</v>
      </c>
      <c r="B19" s="27" t="s">
        <v>38</v>
      </c>
      <c r="C19" s="28">
        <f>9053200+811800+541000</f>
        <v>10406000</v>
      </c>
      <c r="D19" s="28">
        <f>9053200+811800+541000</f>
        <v>10406000</v>
      </c>
      <c r="E19" s="28">
        <f t="shared" si="9"/>
        <v>0</v>
      </c>
      <c r="F19" s="28">
        <v>8147700</v>
      </c>
      <c r="G19" s="28">
        <v>8147700</v>
      </c>
      <c r="H19" s="28">
        <f t="shared" si="2"/>
        <v>0</v>
      </c>
      <c r="I19" s="28">
        <v>7333100</v>
      </c>
      <c r="J19" s="28">
        <v>7333100</v>
      </c>
      <c r="K19" s="28">
        <f t="shared" si="10"/>
        <v>0</v>
      </c>
    </row>
    <row r="20" spans="1:11" s="25" customFormat="1" ht="261.75" customHeight="1" outlineLevel="3">
      <c r="A20" s="26" t="s">
        <v>39</v>
      </c>
      <c r="B20" s="27" t="s">
        <v>40</v>
      </c>
      <c r="C20" s="28">
        <f>57572500+36633500</f>
        <v>94206000</v>
      </c>
      <c r="D20" s="28">
        <f>57572500+36633500</f>
        <v>94206000</v>
      </c>
      <c r="E20" s="28">
        <f t="shared" si="9"/>
        <v>0</v>
      </c>
      <c r="F20" s="28">
        <v>51815100</v>
      </c>
      <c r="G20" s="28">
        <v>51815100</v>
      </c>
      <c r="H20" s="28">
        <f t="shared" si="2"/>
        <v>0</v>
      </c>
      <c r="I20" s="28">
        <v>46633700</v>
      </c>
      <c r="J20" s="28">
        <v>46633700</v>
      </c>
      <c r="K20" s="28">
        <f t="shared" si="10"/>
        <v>0</v>
      </c>
    </row>
    <row r="21" spans="1:11" s="25" customFormat="1" ht="272.25" customHeight="1" outlineLevel="3">
      <c r="A21" s="26" t="s">
        <v>41</v>
      </c>
      <c r="B21" s="27" t="s">
        <v>42</v>
      </c>
      <c r="C21" s="28">
        <f>10125200+586800</f>
        <v>10712000</v>
      </c>
      <c r="D21" s="28">
        <f>10125200+586800</f>
        <v>10712000</v>
      </c>
      <c r="E21" s="28">
        <f t="shared" si="9"/>
        <v>0</v>
      </c>
      <c r="F21" s="28">
        <v>9112800</v>
      </c>
      <c r="G21" s="28">
        <v>9112800</v>
      </c>
      <c r="H21" s="28">
        <f t="shared" si="2"/>
        <v>0</v>
      </c>
      <c r="I21" s="28">
        <v>8201600</v>
      </c>
      <c r="J21" s="28">
        <v>8201600</v>
      </c>
      <c r="K21" s="28">
        <f t="shared" si="10"/>
        <v>0</v>
      </c>
    </row>
    <row r="22" spans="1:11" s="25" customFormat="1" ht="267.75" outlineLevel="3">
      <c r="A22" s="26" t="s">
        <v>43</v>
      </c>
      <c r="B22" s="27" t="s">
        <v>44</v>
      </c>
      <c r="C22" s="28">
        <f>6541000-5362000</f>
        <v>1179000</v>
      </c>
      <c r="D22" s="28">
        <f>6541000-5362000</f>
        <v>1179000</v>
      </c>
      <c r="E22" s="28">
        <f t="shared" si="9"/>
        <v>0</v>
      </c>
      <c r="F22" s="28">
        <v>5887100</v>
      </c>
      <c r="G22" s="28">
        <v>5887100</v>
      </c>
      <c r="H22" s="28">
        <f t="shared" si="2"/>
        <v>0</v>
      </c>
      <c r="I22" s="28">
        <v>5297900</v>
      </c>
      <c r="J22" s="28">
        <v>5297900</v>
      </c>
      <c r="K22" s="28">
        <f t="shared" si="10"/>
        <v>0</v>
      </c>
    </row>
    <row r="23" spans="1:11" s="25" customFormat="1" ht="76.5" outlineLevel="3">
      <c r="A23" s="31" t="s">
        <v>45</v>
      </c>
      <c r="B23" s="30" t="s">
        <v>46</v>
      </c>
      <c r="C23" s="32">
        <f>361257000+368340000</f>
        <v>729597000</v>
      </c>
      <c r="D23" s="32">
        <f>361257000+368340000</f>
        <v>729597000</v>
      </c>
      <c r="E23" s="28">
        <f t="shared" si="9"/>
        <v>0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</row>
    <row r="24" spans="1:11" s="25" customFormat="1" ht="76.5" outlineLevel="3">
      <c r="A24" s="31" t="s">
        <v>47</v>
      </c>
      <c r="B24" s="30" t="s">
        <v>48</v>
      </c>
      <c r="C24" s="32">
        <f>3964000+592000</f>
        <v>4556000</v>
      </c>
      <c r="D24" s="32">
        <f>3964000+592000</f>
        <v>4556000</v>
      </c>
      <c r="E24" s="28">
        <f t="shared" si="9"/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</row>
    <row r="25" spans="1:11" s="25" customFormat="1" ht="28.5" outlineLevel="1">
      <c r="A25" s="22" t="s">
        <v>49</v>
      </c>
      <c r="B25" s="23" t="s">
        <v>50</v>
      </c>
      <c r="C25" s="24">
        <f>C26</f>
        <v>15693600</v>
      </c>
      <c r="D25" s="24">
        <f>D26</f>
        <v>15693600</v>
      </c>
      <c r="E25" s="24">
        <f t="shared" ref="E25:K25" si="11">E26</f>
        <v>0</v>
      </c>
      <c r="F25" s="24">
        <f t="shared" si="11"/>
        <v>16698200</v>
      </c>
      <c r="G25" s="24">
        <f t="shared" si="11"/>
        <v>16698200</v>
      </c>
      <c r="H25" s="24">
        <f t="shared" si="2"/>
        <v>0</v>
      </c>
      <c r="I25" s="24">
        <f>I26</f>
        <v>24962900</v>
      </c>
      <c r="J25" s="24">
        <f t="shared" si="11"/>
        <v>24962900</v>
      </c>
      <c r="K25" s="24">
        <f t="shared" si="11"/>
        <v>0</v>
      </c>
    </row>
    <row r="26" spans="1:11" s="25" customFormat="1" ht="28.5" outlineLevel="2">
      <c r="A26" s="22" t="s">
        <v>51</v>
      </c>
      <c r="B26" s="23" t="s">
        <v>52</v>
      </c>
      <c r="C26" s="24">
        <f>SUM(C27:C30)</f>
        <v>15693600</v>
      </c>
      <c r="D26" s="24">
        <f>SUM(D27:D30)</f>
        <v>15693600</v>
      </c>
      <c r="E26" s="24">
        <f t="shared" ref="E26:K26" si="12">SUM(E27:E30)</f>
        <v>0</v>
      </c>
      <c r="F26" s="24">
        <f t="shared" si="12"/>
        <v>16698200</v>
      </c>
      <c r="G26" s="24">
        <f t="shared" si="12"/>
        <v>16698200</v>
      </c>
      <c r="H26" s="24">
        <f t="shared" si="2"/>
        <v>0</v>
      </c>
      <c r="I26" s="24">
        <f>SUM(I27:I30)</f>
        <v>24962900</v>
      </c>
      <c r="J26" s="24">
        <f t="shared" si="12"/>
        <v>24962900</v>
      </c>
      <c r="K26" s="24">
        <f t="shared" si="12"/>
        <v>0</v>
      </c>
    </row>
    <row r="27" spans="1:11" s="25" customFormat="1" ht="89.25" outlineLevel="3">
      <c r="A27" s="26" t="s">
        <v>53</v>
      </c>
      <c r="B27" s="27" t="s">
        <v>54</v>
      </c>
      <c r="C27" s="28">
        <v>8208000</v>
      </c>
      <c r="D27" s="28">
        <v>8208000</v>
      </c>
      <c r="E27" s="28">
        <f t="shared" si="9"/>
        <v>0</v>
      </c>
      <c r="F27" s="28">
        <v>8742100</v>
      </c>
      <c r="G27" s="28">
        <v>8742100</v>
      </c>
      <c r="H27" s="28">
        <f t="shared" si="2"/>
        <v>0</v>
      </c>
      <c r="I27" s="28">
        <v>13049100</v>
      </c>
      <c r="J27" s="28">
        <v>13049100</v>
      </c>
      <c r="K27" s="28">
        <f t="shared" si="10"/>
        <v>0</v>
      </c>
    </row>
    <row r="28" spans="1:11" s="25" customFormat="1" ht="102" outlineLevel="3">
      <c r="A28" s="26" t="s">
        <v>55</v>
      </c>
      <c r="B28" s="27" t="s">
        <v>56</v>
      </c>
      <c r="C28" s="28">
        <v>37000</v>
      </c>
      <c r="D28" s="28">
        <v>37000</v>
      </c>
      <c r="E28" s="28">
        <f t="shared" si="9"/>
        <v>0</v>
      </c>
      <c r="F28" s="28">
        <v>40500</v>
      </c>
      <c r="G28" s="28">
        <v>40500</v>
      </c>
      <c r="H28" s="28">
        <f t="shared" si="2"/>
        <v>0</v>
      </c>
      <c r="I28" s="28">
        <v>60500</v>
      </c>
      <c r="J28" s="28">
        <v>60500</v>
      </c>
      <c r="K28" s="28">
        <f t="shared" si="10"/>
        <v>0</v>
      </c>
    </row>
    <row r="29" spans="1:11" s="25" customFormat="1" ht="89.25" outlineLevel="3">
      <c r="A29" s="26" t="s">
        <v>57</v>
      </c>
      <c r="B29" s="27" t="s">
        <v>58</v>
      </c>
      <c r="C29" s="28">
        <v>8289300</v>
      </c>
      <c r="D29" s="28">
        <v>8289300</v>
      </c>
      <c r="E29" s="28">
        <f t="shared" si="9"/>
        <v>0</v>
      </c>
      <c r="F29" s="28">
        <v>8785200</v>
      </c>
      <c r="G29" s="28">
        <v>8785200</v>
      </c>
      <c r="H29" s="28">
        <f t="shared" si="2"/>
        <v>0</v>
      </c>
      <c r="I29" s="28">
        <v>13102900</v>
      </c>
      <c r="J29" s="28">
        <v>13102900</v>
      </c>
      <c r="K29" s="28">
        <f t="shared" si="10"/>
        <v>0</v>
      </c>
    </row>
    <row r="30" spans="1:11" s="25" customFormat="1" ht="89.25" outlineLevel="3">
      <c r="A30" s="26" t="s">
        <v>59</v>
      </c>
      <c r="B30" s="27" t="s">
        <v>60</v>
      </c>
      <c r="C30" s="28">
        <v>-840700</v>
      </c>
      <c r="D30" s="28">
        <v>-840700</v>
      </c>
      <c r="E30" s="28">
        <f t="shared" si="9"/>
        <v>0</v>
      </c>
      <c r="F30" s="28">
        <v>-869600</v>
      </c>
      <c r="G30" s="28">
        <v>-869600</v>
      </c>
      <c r="H30" s="28">
        <f t="shared" si="2"/>
        <v>0</v>
      </c>
      <c r="I30" s="28">
        <v>-1249600</v>
      </c>
      <c r="J30" s="28">
        <v>-1249600</v>
      </c>
      <c r="K30" s="28">
        <f t="shared" si="10"/>
        <v>0</v>
      </c>
    </row>
    <row r="31" spans="1:11" s="25" customFormat="1" ht="28.5" outlineLevel="1">
      <c r="A31" s="22" t="s">
        <v>61</v>
      </c>
      <c r="B31" s="23" t="s">
        <v>62</v>
      </c>
      <c r="C31" s="24">
        <f>C32+C37+C39</f>
        <v>83075600</v>
      </c>
      <c r="D31" s="24">
        <f>D32+D37+D39</f>
        <v>83075600</v>
      </c>
      <c r="E31" s="24">
        <f t="shared" ref="E31:K31" si="13">E32+E37+E39</f>
        <v>0</v>
      </c>
      <c r="F31" s="24">
        <f t="shared" si="13"/>
        <v>69226800</v>
      </c>
      <c r="G31" s="24">
        <f t="shared" si="13"/>
        <v>69226800</v>
      </c>
      <c r="H31" s="24">
        <f t="shared" si="2"/>
        <v>0</v>
      </c>
      <c r="I31" s="24">
        <f>I32+I37+I39</f>
        <v>65413600</v>
      </c>
      <c r="J31" s="24">
        <f t="shared" si="13"/>
        <v>65413600</v>
      </c>
      <c r="K31" s="24">
        <f t="shared" si="13"/>
        <v>0</v>
      </c>
    </row>
    <row r="32" spans="1:11" s="25" customFormat="1" ht="28.5" outlineLevel="2">
      <c r="A32" s="22" t="s">
        <v>63</v>
      </c>
      <c r="B32" s="23" t="s">
        <v>64</v>
      </c>
      <c r="C32" s="24">
        <f>SUM(C33:C36)</f>
        <v>71008600</v>
      </c>
      <c r="D32" s="24">
        <f>SUM(D33:D36)</f>
        <v>71008600</v>
      </c>
      <c r="E32" s="24">
        <f t="shared" ref="E32:K32" si="14">SUM(E33:E36)</f>
        <v>0</v>
      </c>
      <c r="F32" s="24">
        <f t="shared" si="14"/>
        <v>58986800</v>
      </c>
      <c r="G32" s="24">
        <f t="shared" si="14"/>
        <v>58986800</v>
      </c>
      <c r="H32" s="24">
        <f t="shared" si="2"/>
        <v>0</v>
      </c>
      <c r="I32" s="24">
        <f>SUM(I33:I36)</f>
        <v>57133600</v>
      </c>
      <c r="J32" s="24">
        <f t="shared" si="14"/>
        <v>57133600</v>
      </c>
      <c r="K32" s="24">
        <f t="shared" si="14"/>
        <v>0</v>
      </c>
    </row>
    <row r="33" spans="1:12" s="25" customFormat="1" ht="51" outlineLevel="3">
      <c r="A33" s="26" t="s">
        <v>65</v>
      </c>
      <c r="B33" s="33" t="s">
        <v>66</v>
      </c>
      <c r="C33" s="28">
        <f>39366200+12040000</f>
        <v>51406200</v>
      </c>
      <c r="D33" s="28">
        <f>39366200+12040000</f>
        <v>51406200</v>
      </c>
      <c r="E33" s="28">
        <f t="shared" si="9"/>
        <v>0</v>
      </c>
      <c r="F33" s="28">
        <v>40462400</v>
      </c>
      <c r="G33" s="28">
        <v>40462400</v>
      </c>
      <c r="H33" s="28">
        <f t="shared" si="2"/>
        <v>0</v>
      </c>
      <c r="I33" s="28">
        <v>39381000</v>
      </c>
      <c r="J33" s="28">
        <v>39381000</v>
      </c>
      <c r="K33" s="28">
        <f t="shared" si="10"/>
        <v>0</v>
      </c>
    </row>
    <row r="34" spans="1:12" s="25" customFormat="1" ht="51" outlineLevel="3">
      <c r="A34" s="26" t="s">
        <v>67</v>
      </c>
      <c r="B34" s="33" t="s">
        <v>68</v>
      </c>
      <c r="C34" s="28">
        <v>1000</v>
      </c>
      <c r="D34" s="28">
        <v>1000</v>
      </c>
      <c r="E34" s="28">
        <f t="shared" si="9"/>
        <v>0</v>
      </c>
      <c r="F34" s="28">
        <v>0</v>
      </c>
      <c r="G34" s="28">
        <v>0</v>
      </c>
      <c r="H34" s="28">
        <f t="shared" si="2"/>
        <v>0</v>
      </c>
      <c r="I34" s="28">
        <v>0</v>
      </c>
      <c r="J34" s="28">
        <v>0</v>
      </c>
      <c r="K34" s="28">
        <f t="shared" si="10"/>
        <v>0</v>
      </c>
    </row>
    <row r="35" spans="1:12" s="25" customFormat="1" ht="76.5" outlineLevel="3">
      <c r="A35" s="26" t="s">
        <v>69</v>
      </c>
      <c r="B35" s="27" t="s">
        <v>70</v>
      </c>
      <c r="C35" s="28">
        <f>18368800+1231600</f>
        <v>19600400</v>
      </c>
      <c r="D35" s="28">
        <f>18368800+1231600</f>
        <v>19600400</v>
      </c>
      <c r="E35" s="28">
        <f t="shared" si="9"/>
        <v>0</v>
      </c>
      <c r="F35" s="28">
        <v>18524400</v>
      </c>
      <c r="G35" s="28">
        <v>18524400</v>
      </c>
      <c r="H35" s="28">
        <f t="shared" si="2"/>
        <v>0</v>
      </c>
      <c r="I35" s="28">
        <v>17752600</v>
      </c>
      <c r="J35" s="28">
        <v>17752600</v>
      </c>
      <c r="K35" s="28">
        <f t="shared" si="10"/>
        <v>0</v>
      </c>
    </row>
    <row r="36" spans="1:12" s="25" customFormat="1" ht="76.5" outlineLevel="3">
      <c r="A36" s="26" t="s">
        <v>71</v>
      </c>
      <c r="B36" s="27" t="s">
        <v>72</v>
      </c>
      <c r="C36" s="28">
        <v>1000</v>
      </c>
      <c r="D36" s="28">
        <v>1000</v>
      </c>
      <c r="E36" s="28">
        <f t="shared" si="9"/>
        <v>0</v>
      </c>
      <c r="F36" s="28">
        <v>0</v>
      </c>
      <c r="G36" s="28">
        <v>0</v>
      </c>
      <c r="H36" s="28">
        <f t="shared" si="2"/>
        <v>0</v>
      </c>
      <c r="I36" s="28">
        <v>0</v>
      </c>
      <c r="J36" s="28">
        <v>0</v>
      </c>
      <c r="K36" s="28">
        <f t="shared" si="10"/>
        <v>0</v>
      </c>
    </row>
    <row r="37" spans="1:12" s="25" customFormat="1" ht="28.5" outlineLevel="2">
      <c r="A37" s="22" t="s">
        <v>73</v>
      </c>
      <c r="B37" s="23" t="s">
        <v>74</v>
      </c>
      <c r="C37" s="24">
        <f t="shared" ref="C37:C42" si="15">C38</f>
        <v>878000</v>
      </c>
      <c r="D37" s="24">
        <f>D38</f>
        <v>878000</v>
      </c>
      <c r="E37" s="24">
        <f t="shared" ref="E37:K37" si="16">E38</f>
        <v>0</v>
      </c>
      <c r="F37" s="24">
        <f t="shared" si="16"/>
        <v>927000</v>
      </c>
      <c r="G37" s="24">
        <f t="shared" si="16"/>
        <v>927000</v>
      </c>
      <c r="H37" s="24">
        <f t="shared" si="2"/>
        <v>0</v>
      </c>
      <c r="I37" s="24">
        <f t="shared" ref="I37:I42" si="17">I38</f>
        <v>927000</v>
      </c>
      <c r="J37" s="24">
        <f t="shared" si="16"/>
        <v>927000</v>
      </c>
      <c r="K37" s="24">
        <f t="shared" si="16"/>
        <v>0</v>
      </c>
    </row>
    <row r="38" spans="1:12" s="25" customFormat="1" ht="38.25" outlineLevel="3">
      <c r="A38" s="26" t="s">
        <v>75</v>
      </c>
      <c r="B38" s="33" t="s">
        <v>76</v>
      </c>
      <c r="C38" s="28">
        <v>878000</v>
      </c>
      <c r="D38" s="28">
        <v>878000</v>
      </c>
      <c r="E38" s="28">
        <f t="shared" si="9"/>
        <v>0</v>
      </c>
      <c r="F38" s="28">
        <v>927000</v>
      </c>
      <c r="G38" s="28">
        <v>927000</v>
      </c>
      <c r="H38" s="28">
        <f t="shared" si="2"/>
        <v>0</v>
      </c>
      <c r="I38" s="28">
        <v>927000</v>
      </c>
      <c r="J38" s="28">
        <v>927000</v>
      </c>
      <c r="K38" s="28">
        <f t="shared" si="10"/>
        <v>0</v>
      </c>
    </row>
    <row r="39" spans="1:12" s="25" customFormat="1" ht="28.5" outlineLevel="2">
      <c r="A39" s="22" t="s">
        <v>77</v>
      </c>
      <c r="B39" s="23" t="s">
        <v>78</v>
      </c>
      <c r="C39" s="24">
        <f t="shared" si="15"/>
        <v>11189000</v>
      </c>
      <c r="D39" s="24">
        <f>D40</f>
        <v>11189000</v>
      </c>
      <c r="E39" s="24">
        <f t="shared" ref="E39:K39" si="18">E40</f>
        <v>0</v>
      </c>
      <c r="F39" s="24">
        <f t="shared" si="18"/>
        <v>9313000</v>
      </c>
      <c r="G39" s="24">
        <f t="shared" si="18"/>
        <v>9313000</v>
      </c>
      <c r="H39" s="24">
        <f t="shared" si="2"/>
        <v>0</v>
      </c>
      <c r="I39" s="24">
        <f t="shared" si="17"/>
        <v>7353000</v>
      </c>
      <c r="J39" s="24">
        <f t="shared" si="18"/>
        <v>7353000</v>
      </c>
      <c r="K39" s="24">
        <f t="shared" si="18"/>
        <v>0</v>
      </c>
    </row>
    <row r="40" spans="1:12" s="25" customFormat="1" ht="51" outlineLevel="3">
      <c r="A40" s="26" t="s">
        <v>79</v>
      </c>
      <c r="B40" s="33" t="s">
        <v>80</v>
      </c>
      <c r="C40" s="28">
        <v>11189000</v>
      </c>
      <c r="D40" s="28">
        <v>11189000</v>
      </c>
      <c r="E40" s="28">
        <f t="shared" si="9"/>
        <v>0</v>
      </c>
      <c r="F40" s="28">
        <v>9313000</v>
      </c>
      <c r="G40" s="28">
        <v>9313000</v>
      </c>
      <c r="H40" s="28">
        <f t="shared" si="2"/>
        <v>0</v>
      </c>
      <c r="I40" s="28">
        <v>7353000</v>
      </c>
      <c r="J40" s="28">
        <v>7353000</v>
      </c>
      <c r="K40" s="28">
        <f t="shared" si="10"/>
        <v>0</v>
      </c>
    </row>
    <row r="41" spans="1:12" s="25" customFormat="1" ht="28.5" outlineLevel="1">
      <c r="A41" s="22" t="s">
        <v>81</v>
      </c>
      <c r="B41" s="23" t="s">
        <v>82</v>
      </c>
      <c r="C41" s="24">
        <f>C42+C44</f>
        <v>76628000</v>
      </c>
      <c r="D41" s="24">
        <f>D42+D44</f>
        <v>76628000</v>
      </c>
      <c r="E41" s="24">
        <f t="shared" ref="E41:K41" si="19">E42+E44</f>
        <v>0</v>
      </c>
      <c r="F41" s="24">
        <f t="shared" si="19"/>
        <v>79711000</v>
      </c>
      <c r="G41" s="24">
        <f t="shared" si="19"/>
        <v>79711000</v>
      </c>
      <c r="H41" s="24">
        <f t="shared" si="2"/>
        <v>0</v>
      </c>
      <c r="I41" s="24">
        <f>I42+I44</f>
        <v>82974000</v>
      </c>
      <c r="J41" s="24">
        <f t="shared" si="19"/>
        <v>82974000</v>
      </c>
      <c r="K41" s="24">
        <f t="shared" si="19"/>
        <v>0</v>
      </c>
    </row>
    <row r="42" spans="1:12" s="25" customFormat="1" ht="28.5" outlineLevel="2">
      <c r="A42" s="22" t="s">
        <v>83</v>
      </c>
      <c r="B42" s="23" t="s">
        <v>84</v>
      </c>
      <c r="C42" s="24">
        <f t="shared" si="15"/>
        <v>45442000</v>
      </c>
      <c r="D42" s="24">
        <f>D43</f>
        <v>45442000</v>
      </c>
      <c r="E42" s="24">
        <f t="shared" ref="E42:K42" si="20">E43</f>
        <v>0</v>
      </c>
      <c r="F42" s="24">
        <f t="shared" si="20"/>
        <v>48229000</v>
      </c>
      <c r="G42" s="24">
        <f t="shared" si="20"/>
        <v>48229000</v>
      </c>
      <c r="H42" s="24">
        <f t="shared" si="2"/>
        <v>0</v>
      </c>
      <c r="I42" s="24">
        <f t="shared" si="17"/>
        <v>51188000</v>
      </c>
      <c r="J42" s="24">
        <f t="shared" si="20"/>
        <v>51188000</v>
      </c>
      <c r="K42" s="24">
        <f t="shared" si="20"/>
        <v>0</v>
      </c>
    </row>
    <row r="43" spans="1:12" s="25" customFormat="1" ht="63.75" outlineLevel="3">
      <c r="A43" s="26" t="s">
        <v>85</v>
      </c>
      <c r="B43" s="33" t="s">
        <v>86</v>
      </c>
      <c r="C43" s="28">
        <v>45442000</v>
      </c>
      <c r="D43" s="28">
        <v>45442000</v>
      </c>
      <c r="E43" s="28">
        <f t="shared" si="9"/>
        <v>0</v>
      </c>
      <c r="F43" s="28">
        <v>48229000</v>
      </c>
      <c r="G43" s="28">
        <v>48229000</v>
      </c>
      <c r="H43" s="28">
        <f t="shared" si="2"/>
        <v>0</v>
      </c>
      <c r="I43" s="28">
        <v>51188000</v>
      </c>
      <c r="J43" s="28">
        <v>51188000</v>
      </c>
      <c r="K43" s="28">
        <f t="shared" si="10"/>
        <v>0</v>
      </c>
    </row>
    <row r="44" spans="1:12" s="25" customFormat="1" ht="28.5" outlineLevel="2">
      <c r="A44" s="22" t="s">
        <v>87</v>
      </c>
      <c r="B44" s="23" t="s">
        <v>88</v>
      </c>
      <c r="C44" s="24">
        <f>SUM(C45:C46)</f>
        <v>31186000</v>
      </c>
      <c r="D44" s="24">
        <f>SUM(D45:D46)</f>
        <v>31186000</v>
      </c>
      <c r="E44" s="24">
        <f t="shared" ref="E44:K44" si="21">SUM(E45:E46)</f>
        <v>0</v>
      </c>
      <c r="F44" s="24">
        <f t="shared" si="21"/>
        <v>31482000</v>
      </c>
      <c r="G44" s="24">
        <f t="shared" si="21"/>
        <v>31482000</v>
      </c>
      <c r="H44" s="24">
        <f t="shared" si="2"/>
        <v>0</v>
      </c>
      <c r="I44" s="24">
        <f>SUM(I45:I46)</f>
        <v>31786000</v>
      </c>
      <c r="J44" s="24">
        <f t="shared" si="21"/>
        <v>31786000</v>
      </c>
      <c r="K44" s="24">
        <f t="shared" si="21"/>
        <v>0</v>
      </c>
    </row>
    <row r="45" spans="1:12" s="25" customFormat="1" ht="51" outlineLevel="3">
      <c r="A45" s="26" t="s">
        <v>89</v>
      </c>
      <c r="B45" s="33" t="s">
        <v>90</v>
      </c>
      <c r="C45" s="28">
        <v>17556000</v>
      </c>
      <c r="D45" s="28">
        <v>17556000</v>
      </c>
      <c r="E45" s="28">
        <f t="shared" si="9"/>
        <v>0</v>
      </c>
      <c r="F45" s="28">
        <v>16257000</v>
      </c>
      <c r="G45" s="28">
        <v>16257000</v>
      </c>
      <c r="H45" s="28">
        <f t="shared" si="2"/>
        <v>0</v>
      </c>
      <c r="I45" s="28">
        <v>15054000</v>
      </c>
      <c r="J45" s="28">
        <v>15054000</v>
      </c>
      <c r="K45" s="28">
        <f t="shared" si="10"/>
        <v>0</v>
      </c>
    </row>
    <row r="46" spans="1:12" s="25" customFormat="1" ht="51" outlineLevel="3">
      <c r="A46" s="26" t="s">
        <v>91</v>
      </c>
      <c r="B46" s="33" t="s">
        <v>92</v>
      </c>
      <c r="C46" s="28">
        <v>13630000</v>
      </c>
      <c r="D46" s="28">
        <v>13630000</v>
      </c>
      <c r="E46" s="28">
        <f t="shared" si="9"/>
        <v>0</v>
      </c>
      <c r="F46" s="28">
        <v>15225000</v>
      </c>
      <c r="G46" s="28">
        <v>15225000</v>
      </c>
      <c r="H46" s="28">
        <f t="shared" si="2"/>
        <v>0</v>
      </c>
      <c r="I46" s="28">
        <v>16732000</v>
      </c>
      <c r="J46" s="28">
        <v>16732000</v>
      </c>
      <c r="K46" s="28">
        <f t="shared" si="10"/>
        <v>0</v>
      </c>
    </row>
    <row r="47" spans="1:12" s="25" customFormat="1" ht="28.5" outlineLevel="1">
      <c r="A47" s="22" t="s">
        <v>93</v>
      </c>
      <c r="B47" s="23" t="s">
        <v>94</v>
      </c>
      <c r="C47" s="24">
        <f>SUM(C48:C50)</f>
        <v>23457000.02</v>
      </c>
      <c r="D47" s="24">
        <f>SUM(D48:D50)</f>
        <v>23457000.02</v>
      </c>
      <c r="E47" s="24">
        <f t="shared" ref="E47:K47" si="22">SUM(E48:E50)</f>
        <v>0</v>
      </c>
      <c r="F47" s="24">
        <f t="shared" si="22"/>
        <v>11952000</v>
      </c>
      <c r="G47" s="24">
        <f t="shared" si="22"/>
        <v>11952000</v>
      </c>
      <c r="H47" s="24">
        <f t="shared" si="2"/>
        <v>0</v>
      </c>
      <c r="I47" s="24">
        <f>SUM(I48:I50)</f>
        <v>11952000</v>
      </c>
      <c r="J47" s="24">
        <f t="shared" si="22"/>
        <v>11952000</v>
      </c>
      <c r="K47" s="24">
        <f t="shared" si="22"/>
        <v>0</v>
      </c>
      <c r="L47" s="34">
        <f t="shared" ref="L47" si="23">SUM(L8:L46)</f>
        <v>0</v>
      </c>
    </row>
    <row r="48" spans="1:12" s="25" customFormat="1" ht="51" outlineLevel="3">
      <c r="A48" s="26" t="s">
        <v>95</v>
      </c>
      <c r="B48" s="33" t="s">
        <v>96</v>
      </c>
      <c r="C48" s="28">
        <f>11521000+11926000.02-5800000</f>
        <v>17647000.02</v>
      </c>
      <c r="D48" s="28">
        <f>11521000+11926000.02-5800000</f>
        <v>17647000.02</v>
      </c>
      <c r="E48" s="28">
        <f t="shared" si="9"/>
        <v>0</v>
      </c>
      <c r="F48" s="28">
        <v>11942000</v>
      </c>
      <c r="G48" s="28">
        <v>11942000</v>
      </c>
      <c r="H48" s="28">
        <f t="shared" si="2"/>
        <v>0</v>
      </c>
      <c r="I48" s="28">
        <v>11942000</v>
      </c>
      <c r="J48" s="28">
        <v>11942000</v>
      </c>
      <c r="K48" s="28">
        <f t="shared" si="10"/>
        <v>0</v>
      </c>
    </row>
    <row r="49" spans="1:11" s="25" customFormat="1" ht="65.25" customHeight="1" outlineLevel="3">
      <c r="A49" s="31" t="s">
        <v>97</v>
      </c>
      <c r="B49" s="30" t="s">
        <v>98</v>
      </c>
      <c r="C49" s="28">
        <v>5800000</v>
      </c>
      <c r="D49" s="28">
        <v>5800000</v>
      </c>
      <c r="E49" s="28">
        <f t="shared" si="9"/>
        <v>0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</row>
    <row r="50" spans="1:11" s="25" customFormat="1" ht="25.5" outlineLevel="3">
      <c r="A50" s="26" t="s">
        <v>99</v>
      </c>
      <c r="B50" s="33" t="s">
        <v>100</v>
      </c>
      <c r="C50" s="28">
        <v>10000</v>
      </c>
      <c r="D50" s="28">
        <v>10000</v>
      </c>
      <c r="E50" s="28">
        <f t="shared" si="9"/>
        <v>0</v>
      </c>
      <c r="F50" s="28">
        <v>10000</v>
      </c>
      <c r="G50" s="28">
        <v>10000</v>
      </c>
      <c r="H50" s="28">
        <f t="shared" si="2"/>
        <v>0</v>
      </c>
      <c r="I50" s="28">
        <v>10000</v>
      </c>
      <c r="J50" s="28">
        <v>10000</v>
      </c>
      <c r="K50" s="28">
        <f t="shared" si="10"/>
        <v>0</v>
      </c>
    </row>
    <row r="51" spans="1:11" s="25" customFormat="1" ht="38.25" outlineLevel="1">
      <c r="A51" s="22" t="s">
        <v>101</v>
      </c>
      <c r="B51" s="23" t="s">
        <v>102</v>
      </c>
      <c r="C51" s="24">
        <f>C52+C57</f>
        <v>59412576.359999999</v>
      </c>
      <c r="D51" s="24">
        <f>D52+D57</f>
        <v>59412576.359999999</v>
      </c>
      <c r="E51" s="24">
        <f t="shared" ref="E51:K51" si="24">E52+E57</f>
        <v>0</v>
      </c>
      <c r="F51" s="24">
        <f t="shared" si="24"/>
        <v>59010000</v>
      </c>
      <c r="G51" s="24">
        <f t="shared" si="24"/>
        <v>59010000</v>
      </c>
      <c r="H51" s="24">
        <f t="shared" si="2"/>
        <v>0</v>
      </c>
      <c r="I51" s="24">
        <f>I52+I57</f>
        <v>59010000</v>
      </c>
      <c r="J51" s="24">
        <f t="shared" si="24"/>
        <v>59010000</v>
      </c>
      <c r="K51" s="24">
        <f t="shared" si="24"/>
        <v>0</v>
      </c>
    </row>
    <row r="52" spans="1:11" s="25" customFormat="1" ht="76.5" outlineLevel="2">
      <c r="A52" s="22" t="s">
        <v>103</v>
      </c>
      <c r="B52" s="35" t="s">
        <v>104</v>
      </c>
      <c r="C52" s="24">
        <f>SUM(C53:C56)</f>
        <v>58510000</v>
      </c>
      <c r="D52" s="24">
        <f>SUM(D53:D56)</f>
        <v>58510000</v>
      </c>
      <c r="E52" s="24">
        <f t="shared" ref="E52:K52" si="25">SUM(E53:E56)</f>
        <v>0</v>
      </c>
      <c r="F52" s="24">
        <f t="shared" si="25"/>
        <v>58510000</v>
      </c>
      <c r="G52" s="24">
        <f t="shared" si="25"/>
        <v>58510000</v>
      </c>
      <c r="H52" s="24">
        <f t="shared" si="2"/>
        <v>0</v>
      </c>
      <c r="I52" s="24">
        <f>SUM(I53:I56)</f>
        <v>58510000</v>
      </c>
      <c r="J52" s="24">
        <f t="shared" si="25"/>
        <v>58510000</v>
      </c>
      <c r="K52" s="24">
        <f t="shared" si="25"/>
        <v>0</v>
      </c>
    </row>
    <row r="53" spans="1:11" s="25" customFormat="1" ht="63.75" outlineLevel="3">
      <c r="A53" s="26" t="s">
        <v>105</v>
      </c>
      <c r="B53" s="27" t="s">
        <v>106</v>
      </c>
      <c r="C53" s="28">
        <v>40000000</v>
      </c>
      <c r="D53" s="28">
        <v>40000000</v>
      </c>
      <c r="E53" s="28">
        <f t="shared" si="9"/>
        <v>0</v>
      </c>
      <c r="F53" s="28">
        <v>40000000</v>
      </c>
      <c r="G53" s="28">
        <v>40000000</v>
      </c>
      <c r="H53" s="28">
        <f t="shared" si="2"/>
        <v>0</v>
      </c>
      <c r="I53" s="28">
        <v>40000000</v>
      </c>
      <c r="J53" s="28">
        <v>40000000</v>
      </c>
      <c r="K53" s="28">
        <f t="shared" si="10"/>
        <v>0</v>
      </c>
    </row>
    <row r="54" spans="1:11" s="25" customFormat="1" ht="76.5" outlineLevel="3">
      <c r="A54" s="26" t="s">
        <v>107</v>
      </c>
      <c r="B54" s="27" t="s">
        <v>108</v>
      </c>
      <c r="C54" s="28">
        <v>500000</v>
      </c>
      <c r="D54" s="28">
        <v>500000</v>
      </c>
      <c r="E54" s="28">
        <f t="shared" si="9"/>
        <v>0</v>
      </c>
      <c r="F54" s="28">
        <v>500000</v>
      </c>
      <c r="G54" s="28">
        <v>500000</v>
      </c>
      <c r="H54" s="28">
        <f t="shared" si="2"/>
        <v>0</v>
      </c>
      <c r="I54" s="28">
        <v>500000</v>
      </c>
      <c r="J54" s="28">
        <v>500000</v>
      </c>
      <c r="K54" s="28">
        <f t="shared" si="10"/>
        <v>0</v>
      </c>
    </row>
    <row r="55" spans="1:11" s="25" customFormat="1" ht="89.25" outlineLevel="3">
      <c r="A55" s="26" t="s">
        <v>109</v>
      </c>
      <c r="B55" s="27" t="s">
        <v>110</v>
      </c>
      <c r="C55" s="28">
        <v>10000</v>
      </c>
      <c r="D55" s="28">
        <v>10000</v>
      </c>
      <c r="E55" s="28">
        <f t="shared" si="9"/>
        <v>0</v>
      </c>
      <c r="F55" s="28">
        <v>10000</v>
      </c>
      <c r="G55" s="28">
        <v>10000</v>
      </c>
      <c r="H55" s="28">
        <f t="shared" si="2"/>
        <v>0</v>
      </c>
      <c r="I55" s="28">
        <v>10000</v>
      </c>
      <c r="J55" s="28">
        <v>10000</v>
      </c>
      <c r="K55" s="28">
        <f t="shared" si="10"/>
        <v>0</v>
      </c>
    </row>
    <row r="56" spans="1:11" s="25" customFormat="1" ht="51" outlineLevel="3">
      <c r="A56" s="26" t="s">
        <v>111</v>
      </c>
      <c r="B56" s="33" t="s">
        <v>112</v>
      </c>
      <c r="C56" s="28">
        <v>18000000</v>
      </c>
      <c r="D56" s="28">
        <v>18000000</v>
      </c>
      <c r="E56" s="28">
        <f t="shared" si="9"/>
        <v>0</v>
      </c>
      <c r="F56" s="28">
        <v>18000000</v>
      </c>
      <c r="G56" s="28">
        <v>18000000</v>
      </c>
      <c r="H56" s="28">
        <f t="shared" si="2"/>
        <v>0</v>
      </c>
      <c r="I56" s="28">
        <v>18000000</v>
      </c>
      <c r="J56" s="28">
        <v>18000000</v>
      </c>
      <c r="K56" s="28">
        <f t="shared" si="10"/>
        <v>0</v>
      </c>
    </row>
    <row r="57" spans="1:11" s="25" customFormat="1" ht="38.25" outlineLevel="2">
      <c r="A57" s="22" t="s">
        <v>113</v>
      </c>
      <c r="B57" s="23" t="s">
        <v>114</v>
      </c>
      <c r="C57" s="24">
        <f>C58+C59+C60</f>
        <v>902576.36</v>
      </c>
      <c r="D57" s="24">
        <f>D58+D59+D60</f>
        <v>902576.36</v>
      </c>
      <c r="E57" s="24">
        <f t="shared" ref="E57:K57" si="26">E58+E59+E60</f>
        <v>0</v>
      </c>
      <c r="F57" s="24">
        <f t="shared" si="26"/>
        <v>500000</v>
      </c>
      <c r="G57" s="24">
        <f t="shared" si="26"/>
        <v>500000</v>
      </c>
      <c r="H57" s="24">
        <f t="shared" si="26"/>
        <v>0</v>
      </c>
      <c r="I57" s="24">
        <f t="shared" si="26"/>
        <v>500000</v>
      </c>
      <c r="J57" s="24">
        <f t="shared" si="26"/>
        <v>500000</v>
      </c>
      <c r="K57" s="24">
        <f t="shared" si="26"/>
        <v>0</v>
      </c>
    </row>
    <row r="58" spans="1:11" s="25" customFormat="1" ht="89.25" outlineLevel="3">
      <c r="A58" s="26" t="s">
        <v>115</v>
      </c>
      <c r="B58" s="27" t="s">
        <v>116</v>
      </c>
      <c r="C58" s="28">
        <v>500000</v>
      </c>
      <c r="D58" s="28">
        <v>500000</v>
      </c>
      <c r="E58" s="28">
        <f t="shared" si="9"/>
        <v>0</v>
      </c>
      <c r="F58" s="28">
        <v>500000</v>
      </c>
      <c r="G58" s="28">
        <v>500000</v>
      </c>
      <c r="H58" s="28">
        <f t="shared" si="2"/>
        <v>0</v>
      </c>
      <c r="I58" s="28">
        <v>500000</v>
      </c>
      <c r="J58" s="28">
        <v>500000</v>
      </c>
      <c r="K58" s="28">
        <f t="shared" si="10"/>
        <v>0</v>
      </c>
    </row>
    <row r="59" spans="1:11" s="25" customFormat="1" ht="63.75" outlineLevel="3">
      <c r="A59" s="31" t="s">
        <v>117</v>
      </c>
      <c r="B59" s="36" t="s">
        <v>118</v>
      </c>
      <c r="C59" s="37">
        <v>64869.24</v>
      </c>
      <c r="D59" s="37">
        <v>64869.24</v>
      </c>
      <c r="E59" s="28">
        <f t="shared" si="9"/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</row>
    <row r="60" spans="1:11" s="25" customFormat="1" ht="76.5" outlineLevel="3">
      <c r="A60" s="31" t="s">
        <v>119</v>
      </c>
      <c r="B60" s="30" t="s">
        <v>120</v>
      </c>
      <c r="C60" s="37">
        <v>337707.12</v>
      </c>
      <c r="D60" s="37">
        <v>337707.12</v>
      </c>
      <c r="E60" s="28">
        <f t="shared" si="9"/>
        <v>0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</row>
    <row r="61" spans="1:11" s="25" customFormat="1" ht="28.5" outlineLevel="1">
      <c r="A61" s="22" t="s">
        <v>121</v>
      </c>
      <c r="B61" s="23" t="s">
        <v>122</v>
      </c>
      <c r="C61" s="24">
        <f>C62</f>
        <v>19800000</v>
      </c>
      <c r="D61" s="24">
        <f>D62</f>
        <v>19800000</v>
      </c>
      <c r="E61" s="24">
        <f t="shared" ref="E61:K61" si="27">E62</f>
        <v>0</v>
      </c>
      <c r="F61" s="24">
        <f t="shared" si="27"/>
        <v>19800000</v>
      </c>
      <c r="G61" s="24">
        <f t="shared" si="27"/>
        <v>19800000</v>
      </c>
      <c r="H61" s="24">
        <f t="shared" si="2"/>
        <v>0</v>
      </c>
      <c r="I61" s="24">
        <f>I62</f>
        <v>19800000</v>
      </c>
      <c r="J61" s="24">
        <f t="shared" si="27"/>
        <v>19800000</v>
      </c>
      <c r="K61" s="24">
        <f t="shared" si="27"/>
        <v>0</v>
      </c>
    </row>
    <row r="62" spans="1:11" s="25" customFormat="1" ht="28.5" outlineLevel="2">
      <c r="A62" s="22" t="s">
        <v>123</v>
      </c>
      <c r="B62" s="23" t="s">
        <v>124</v>
      </c>
      <c r="C62" s="24">
        <f>SUM(C63:C66)</f>
        <v>19800000</v>
      </c>
      <c r="D62" s="24">
        <f>SUM(D63:D66)</f>
        <v>19800000</v>
      </c>
      <c r="E62" s="24">
        <f t="shared" ref="E62:K62" si="28">SUM(E63:E66)</f>
        <v>0</v>
      </c>
      <c r="F62" s="24">
        <f t="shared" si="28"/>
        <v>19800000</v>
      </c>
      <c r="G62" s="24">
        <f t="shared" si="28"/>
        <v>19800000</v>
      </c>
      <c r="H62" s="24">
        <f t="shared" si="2"/>
        <v>0</v>
      </c>
      <c r="I62" s="24">
        <f>SUM(I63:I66)</f>
        <v>19800000</v>
      </c>
      <c r="J62" s="24">
        <f t="shared" si="28"/>
        <v>19800000</v>
      </c>
      <c r="K62" s="24">
        <f t="shared" si="28"/>
        <v>0</v>
      </c>
    </row>
    <row r="63" spans="1:11" s="25" customFormat="1" ht="51" outlineLevel="3">
      <c r="A63" s="26" t="s">
        <v>125</v>
      </c>
      <c r="B63" s="33" t="s">
        <v>126</v>
      </c>
      <c r="C63" s="28">
        <v>350000</v>
      </c>
      <c r="D63" s="28">
        <v>350000</v>
      </c>
      <c r="E63" s="28">
        <f t="shared" si="9"/>
        <v>0</v>
      </c>
      <c r="F63" s="28">
        <v>350000</v>
      </c>
      <c r="G63" s="28">
        <v>350000</v>
      </c>
      <c r="H63" s="28">
        <f t="shared" si="2"/>
        <v>0</v>
      </c>
      <c r="I63" s="28">
        <v>350000</v>
      </c>
      <c r="J63" s="28">
        <v>350000</v>
      </c>
      <c r="K63" s="28">
        <f t="shared" si="10"/>
        <v>0</v>
      </c>
    </row>
    <row r="64" spans="1:11" s="25" customFormat="1" ht="51" outlineLevel="3">
      <c r="A64" s="26" t="s">
        <v>127</v>
      </c>
      <c r="B64" s="33" t="s">
        <v>128</v>
      </c>
      <c r="C64" s="28">
        <v>650000</v>
      </c>
      <c r="D64" s="28">
        <v>650000</v>
      </c>
      <c r="E64" s="28">
        <f t="shared" si="9"/>
        <v>0</v>
      </c>
      <c r="F64" s="28">
        <v>650000</v>
      </c>
      <c r="G64" s="28">
        <v>650000</v>
      </c>
      <c r="H64" s="28">
        <f t="shared" si="2"/>
        <v>0</v>
      </c>
      <c r="I64" s="28">
        <v>650000</v>
      </c>
      <c r="J64" s="28">
        <v>650000</v>
      </c>
      <c r="K64" s="28">
        <f t="shared" si="10"/>
        <v>0</v>
      </c>
    </row>
    <row r="65" spans="1:11" s="25" customFormat="1" ht="51" outlineLevel="3">
      <c r="A65" s="26" t="s">
        <v>129</v>
      </c>
      <c r="B65" s="33" t="s">
        <v>130</v>
      </c>
      <c r="C65" s="28">
        <v>10800000</v>
      </c>
      <c r="D65" s="28">
        <v>10800000</v>
      </c>
      <c r="E65" s="28">
        <f t="shared" si="9"/>
        <v>0</v>
      </c>
      <c r="F65" s="28">
        <v>10800000</v>
      </c>
      <c r="G65" s="28">
        <v>10800000</v>
      </c>
      <c r="H65" s="28">
        <f t="shared" si="2"/>
        <v>0</v>
      </c>
      <c r="I65" s="28">
        <v>10800000</v>
      </c>
      <c r="J65" s="28">
        <v>10800000</v>
      </c>
      <c r="K65" s="28">
        <f t="shared" si="10"/>
        <v>0</v>
      </c>
    </row>
    <row r="66" spans="1:11" s="25" customFormat="1" ht="51" outlineLevel="3">
      <c r="A66" s="26" t="s">
        <v>131</v>
      </c>
      <c r="B66" s="33" t="s">
        <v>132</v>
      </c>
      <c r="C66" s="28">
        <v>8000000</v>
      </c>
      <c r="D66" s="28">
        <v>8000000</v>
      </c>
      <c r="E66" s="28">
        <f t="shared" si="9"/>
        <v>0</v>
      </c>
      <c r="F66" s="28">
        <v>8000000</v>
      </c>
      <c r="G66" s="28">
        <v>8000000</v>
      </c>
      <c r="H66" s="28">
        <f t="shared" si="2"/>
        <v>0</v>
      </c>
      <c r="I66" s="28">
        <v>8000000</v>
      </c>
      <c r="J66" s="28">
        <v>8000000</v>
      </c>
      <c r="K66" s="28">
        <f t="shared" si="10"/>
        <v>0</v>
      </c>
    </row>
    <row r="67" spans="1:11" s="25" customFormat="1" ht="28.5" outlineLevel="1">
      <c r="A67" s="22" t="s">
        <v>133</v>
      </c>
      <c r="B67" s="23" t="s">
        <v>134</v>
      </c>
      <c r="C67" s="24">
        <f t="shared" ref="C67:F67" si="29">C68</f>
        <v>29795721.189999998</v>
      </c>
      <c r="D67" s="24">
        <f t="shared" si="29"/>
        <v>29795721.189999998</v>
      </c>
      <c r="E67" s="24">
        <f t="shared" ref="E67:K68" si="30">E68</f>
        <v>0</v>
      </c>
      <c r="F67" s="24">
        <f t="shared" si="29"/>
        <v>0</v>
      </c>
      <c r="G67" s="24">
        <f t="shared" si="30"/>
        <v>0</v>
      </c>
      <c r="H67" s="24">
        <f t="shared" si="2"/>
        <v>0</v>
      </c>
      <c r="I67" s="24">
        <f>I68</f>
        <v>0</v>
      </c>
      <c r="J67" s="24">
        <f t="shared" si="30"/>
        <v>0</v>
      </c>
      <c r="K67" s="24">
        <f t="shared" si="30"/>
        <v>0</v>
      </c>
    </row>
    <row r="68" spans="1:11" s="25" customFormat="1" ht="28.5" outlineLevel="2">
      <c r="A68" s="22" t="s">
        <v>135</v>
      </c>
      <c r="B68" s="23" t="s">
        <v>136</v>
      </c>
      <c r="C68" s="24">
        <f t="shared" ref="C68:F68" si="31">C69</f>
        <v>29795721.189999998</v>
      </c>
      <c r="D68" s="24">
        <f t="shared" si="31"/>
        <v>29795721.189999998</v>
      </c>
      <c r="E68" s="24">
        <f t="shared" si="30"/>
        <v>0</v>
      </c>
      <c r="F68" s="24">
        <f t="shared" si="31"/>
        <v>0</v>
      </c>
      <c r="G68" s="24">
        <f t="shared" si="30"/>
        <v>0</v>
      </c>
      <c r="H68" s="24">
        <f t="shared" si="2"/>
        <v>0</v>
      </c>
      <c r="I68" s="24">
        <f>I69</f>
        <v>0</v>
      </c>
      <c r="J68" s="24">
        <f t="shared" si="30"/>
        <v>0</v>
      </c>
      <c r="K68" s="24">
        <f t="shared" si="30"/>
        <v>0</v>
      </c>
    </row>
    <row r="69" spans="1:11" s="25" customFormat="1" ht="39.75" customHeight="1" outlineLevel="3">
      <c r="A69" s="26" t="s">
        <v>137</v>
      </c>
      <c r="B69" s="33" t="s">
        <v>138</v>
      </c>
      <c r="C69" s="28">
        <f>22695571.66+5616412.54+564572.45+131030.2+12071.6+640000+136062.74</f>
        <v>29795721.189999998</v>
      </c>
      <c r="D69" s="28">
        <f>22695571.66+5616412.54+564572.45+131030.2+12071.6+640000+136062.74</f>
        <v>29795721.189999998</v>
      </c>
      <c r="E69" s="28">
        <f t="shared" si="9"/>
        <v>0</v>
      </c>
      <c r="F69" s="28">
        <v>0</v>
      </c>
      <c r="G69" s="28">
        <v>0</v>
      </c>
      <c r="H69" s="28">
        <f t="shared" si="2"/>
        <v>0</v>
      </c>
      <c r="I69" s="28">
        <v>0</v>
      </c>
      <c r="J69" s="28">
        <v>0</v>
      </c>
      <c r="K69" s="28">
        <f t="shared" si="10"/>
        <v>0</v>
      </c>
    </row>
    <row r="70" spans="1:11" s="25" customFormat="1" ht="28.5" outlineLevel="1">
      <c r="A70" s="22" t="s">
        <v>139</v>
      </c>
      <c r="B70" s="23" t="s">
        <v>140</v>
      </c>
      <c r="C70" s="24">
        <f>C71+C74</f>
        <v>16234000</v>
      </c>
      <c r="D70" s="24">
        <f>D71+D74</f>
        <v>16234000</v>
      </c>
      <c r="E70" s="24">
        <f t="shared" ref="E70:K70" si="32">E71+E74</f>
        <v>0</v>
      </c>
      <c r="F70" s="24">
        <f t="shared" si="32"/>
        <v>13115000</v>
      </c>
      <c r="G70" s="24">
        <f t="shared" si="32"/>
        <v>13115000</v>
      </c>
      <c r="H70" s="24">
        <f t="shared" si="2"/>
        <v>0</v>
      </c>
      <c r="I70" s="24">
        <f>I71+I74</f>
        <v>13115000</v>
      </c>
      <c r="J70" s="24">
        <f t="shared" si="32"/>
        <v>13115000</v>
      </c>
      <c r="K70" s="24">
        <f t="shared" si="32"/>
        <v>0</v>
      </c>
    </row>
    <row r="71" spans="1:11" s="25" customFormat="1" ht="63.75" outlineLevel="2">
      <c r="A71" s="22" t="s">
        <v>141</v>
      </c>
      <c r="B71" s="35" t="s">
        <v>142</v>
      </c>
      <c r="C71" s="24">
        <f>SUM(C72:C73)</f>
        <v>10115000</v>
      </c>
      <c r="D71" s="24">
        <f>SUM(D72:D73)</f>
        <v>10115000</v>
      </c>
      <c r="E71" s="24">
        <f t="shared" ref="E71:K71" si="33">SUM(E72:E73)</f>
        <v>0</v>
      </c>
      <c r="F71" s="24">
        <f t="shared" si="33"/>
        <v>10115000</v>
      </c>
      <c r="G71" s="24">
        <f t="shared" si="33"/>
        <v>10115000</v>
      </c>
      <c r="H71" s="24">
        <f t="shared" si="2"/>
        <v>0</v>
      </c>
      <c r="I71" s="24">
        <f>SUM(I72:I73)</f>
        <v>10115000</v>
      </c>
      <c r="J71" s="24">
        <f t="shared" si="33"/>
        <v>10115000</v>
      </c>
      <c r="K71" s="24">
        <f t="shared" si="33"/>
        <v>0</v>
      </c>
    </row>
    <row r="72" spans="1:11" s="25" customFormat="1" ht="76.5" outlineLevel="3">
      <c r="A72" s="26" t="s">
        <v>143</v>
      </c>
      <c r="B72" s="27" t="s">
        <v>144</v>
      </c>
      <c r="C72" s="28">
        <v>10000000</v>
      </c>
      <c r="D72" s="28">
        <v>10000000</v>
      </c>
      <c r="E72" s="28">
        <f t="shared" si="9"/>
        <v>0</v>
      </c>
      <c r="F72" s="28">
        <v>10000000</v>
      </c>
      <c r="G72" s="28">
        <v>10000000</v>
      </c>
      <c r="H72" s="28">
        <f t="shared" si="2"/>
        <v>0</v>
      </c>
      <c r="I72" s="28">
        <v>10000000</v>
      </c>
      <c r="J72" s="28">
        <v>10000000</v>
      </c>
      <c r="K72" s="28">
        <f t="shared" si="10"/>
        <v>0</v>
      </c>
    </row>
    <row r="73" spans="1:11" s="25" customFormat="1" ht="63.75" outlineLevel="3">
      <c r="A73" s="26" t="s">
        <v>145</v>
      </c>
      <c r="B73" s="27" t="s">
        <v>146</v>
      </c>
      <c r="C73" s="28">
        <v>115000</v>
      </c>
      <c r="D73" s="28">
        <v>115000</v>
      </c>
      <c r="E73" s="28">
        <f t="shared" si="9"/>
        <v>0</v>
      </c>
      <c r="F73" s="28">
        <v>115000</v>
      </c>
      <c r="G73" s="28">
        <v>115000</v>
      </c>
      <c r="H73" s="28">
        <f t="shared" si="2"/>
        <v>0</v>
      </c>
      <c r="I73" s="28">
        <v>115000</v>
      </c>
      <c r="J73" s="28">
        <v>115000</v>
      </c>
      <c r="K73" s="28">
        <f t="shared" si="10"/>
        <v>0</v>
      </c>
    </row>
    <row r="74" spans="1:11" s="25" customFormat="1" ht="28.5" outlineLevel="2">
      <c r="A74" s="22" t="s">
        <v>147</v>
      </c>
      <c r="B74" s="23" t="s">
        <v>148</v>
      </c>
      <c r="C74" s="24">
        <f>C75</f>
        <v>6119000</v>
      </c>
      <c r="D74" s="24">
        <f>D75</f>
        <v>6119000</v>
      </c>
      <c r="E74" s="24">
        <f t="shared" ref="E74:K74" si="34">E75</f>
        <v>0</v>
      </c>
      <c r="F74" s="24">
        <f t="shared" si="34"/>
        <v>3000000</v>
      </c>
      <c r="G74" s="24">
        <f t="shared" si="34"/>
        <v>3000000</v>
      </c>
      <c r="H74" s="24">
        <f t="shared" si="2"/>
        <v>0</v>
      </c>
      <c r="I74" s="24">
        <f>I75</f>
        <v>3000000</v>
      </c>
      <c r="J74" s="24">
        <f t="shared" si="34"/>
        <v>3000000</v>
      </c>
      <c r="K74" s="24">
        <f t="shared" si="34"/>
        <v>0</v>
      </c>
    </row>
    <row r="75" spans="1:11" s="25" customFormat="1" ht="38.25" outlineLevel="3">
      <c r="A75" s="26" t="s">
        <v>149</v>
      </c>
      <c r="B75" s="33" t="s">
        <v>150</v>
      </c>
      <c r="C75" s="28">
        <f>3000000+3119000</f>
        <v>6119000</v>
      </c>
      <c r="D75" s="28">
        <f>3000000+3119000</f>
        <v>6119000</v>
      </c>
      <c r="E75" s="28">
        <f>D75-C75</f>
        <v>0</v>
      </c>
      <c r="F75" s="28">
        <v>3000000</v>
      </c>
      <c r="G75" s="28">
        <v>3000000</v>
      </c>
      <c r="H75" s="28">
        <f t="shared" si="2"/>
        <v>0</v>
      </c>
      <c r="I75" s="28">
        <v>3000000</v>
      </c>
      <c r="J75" s="28">
        <v>3000000</v>
      </c>
      <c r="K75" s="28">
        <f>J75-I75</f>
        <v>0</v>
      </c>
    </row>
    <row r="76" spans="1:11" s="25" customFormat="1" ht="28.5" outlineLevel="1">
      <c r="A76" s="22" t="s">
        <v>151</v>
      </c>
      <c r="B76" s="23" t="s">
        <v>152</v>
      </c>
      <c r="C76" s="24">
        <f>C77+C90+C93+C95+C98</f>
        <v>128556677.69999999</v>
      </c>
      <c r="D76" s="24">
        <f>D77+D90+D93+D95+D98</f>
        <v>128556677.69999999</v>
      </c>
      <c r="E76" s="24">
        <f t="shared" ref="E76:K76" si="35">E77+E90+E93+E95+E98</f>
        <v>0</v>
      </c>
      <c r="F76" s="24">
        <f t="shared" si="35"/>
        <v>4669978.53</v>
      </c>
      <c r="G76" s="24">
        <f t="shared" si="35"/>
        <v>4669978.53</v>
      </c>
      <c r="H76" s="24">
        <f t="shared" si="2"/>
        <v>0</v>
      </c>
      <c r="I76" s="24">
        <f>I77+I90+I93+I95+I98</f>
        <v>4665339</v>
      </c>
      <c r="J76" s="24">
        <f t="shared" si="35"/>
        <v>4665339</v>
      </c>
      <c r="K76" s="24">
        <f t="shared" si="35"/>
        <v>0</v>
      </c>
    </row>
    <row r="77" spans="1:11" s="25" customFormat="1" ht="36" customHeight="1" outlineLevel="2">
      <c r="A77" s="22" t="s">
        <v>153</v>
      </c>
      <c r="B77" s="23" t="s">
        <v>154</v>
      </c>
      <c r="C77" s="24">
        <f>SUM(C78:C89)</f>
        <v>2972351.21</v>
      </c>
      <c r="D77" s="24">
        <f>SUM(D78:D89)</f>
        <v>2972351.21</v>
      </c>
      <c r="E77" s="24">
        <f t="shared" ref="E77:K77" si="36">SUM(E78:E89)</f>
        <v>0</v>
      </c>
      <c r="F77" s="24">
        <f t="shared" si="36"/>
        <v>2949978.5300000003</v>
      </c>
      <c r="G77" s="24">
        <f t="shared" si="36"/>
        <v>2949978.5300000003</v>
      </c>
      <c r="H77" s="24">
        <f>G77-F77</f>
        <v>0</v>
      </c>
      <c r="I77" s="24">
        <f>SUM(I78:I89)</f>
        <v>2940339</v>
      </c>
      <c r="J77" s="24">
        <f t="shared" si="36"/>
        <v>2940339</v>
      </c>
      <c r="K77" s="24">
        <f t="shared" si="36"/>
        <v>0</v>
      </c>
    </row>
    <row r="78" spans="1:11" s="25" customFormat="1" ht="63.75" outlineLevel="3">
      <c r="A78" s="26" t="s">
        <v>155</v>
      </c>
      <c r="B78" s="27" t="s">
        <v>156</v>
      </c>
      <c r="C78" s="28">
        <f>87646+10345.88-10346</f>
        <v>87645.88</v>
      </c>
      <c r="D78" s="28">
        <f>87646+10345.88-10346</f>
        <v>87645.88</v>
      </c>
      <c r="E78" s="28">
        <f t="shared" ref="E78:E89" si="37">D78-C78</f>
        <v>0</v>
      </c>
      <c r="F78" s="28">
        <f>88532+11232.02-11232</f>
        <v>88532.02</v>
      </c>
      <c r="G78" s="28">
        <f>88532+11232.02-11232</f>
        <v>88532.02</v>
      </c>
      <c r="H78" s="28">
        <f>G78-F78</f>
        <v>0</v>
      </c>
      <c r="I78" s="28">
        <f>89785+12485.07-12485</f>
        <v>89785.07</v>
      </c>
      <c r="J78" s="28">
        <f>89785+12485.07-12485</f>
        <v>89785.07</v>
      </c>
      <c r="K78" s="28">
        <f>J78-I78</f>
        <v>0</v>
      </c>
    </row>
    <row r="79" spans="1:11" s="25" customFormat="1" ht="102.75" customHeight="1" outlineLevel="3">
      <c r="A79" s="26" t="s">
        <v>157</v>
      </c>
      <c r="B79" s="27" t="s">
        <v>158</v>
      </c>
      <c r="C79" s="28">
        <v>40000</v>
      </c>
      <c r="D79" s="28">
        <v>40000</v>
      </c>
      <c r="E79" s="28">
        <f t="shared" si="37"/>
        <v>0</v>
      </c>
      <c r="F79" s="28">
        <v>0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</row>
    <row r="80" spans="1:11" s="25" customFormat="1" ht="89.25" outlineLevel="3">
      <c r="A80" s="26" t="s">
        <v>159</v>
      </c>
      <c r="B80" s="27" t="s">
        <v>160</v>
      </c>
      <c r="C80" s="28">
        <f>193447+26946.99</f>
        <v>220393.99</v>
      </c>
      <c r="D80" s="28">
        <f>193447+26946.99</f>
        <v>220393.99</v>
      </c>
      <c r="E80" s="28">
        <f t="shared" si="37"/>
        <v>0</v>
      </c>
      <c r="F80" s="28">
        <f>198709+33208.81</f>
        <v>231917.81</v>
      </c>
      <c r="G80" s="28">
        <f>198709+33208.81</f>
        <v>231917.81</v>
      </c>
      <c r="H80" s="28">
        <f t="shared" ref="H80:H96" si="38">G80-F80</f>
        <v>0</v>
      </c>
      <c r="I80" s="28">
        <f>194853+28352.86</f>
        <v>223205.86</v>
      </c>
      <c r="J80" s="28">
        <f>194853+28352.86</f>
        <v>223205.86</v>
      </c>
      <c r="K80" s="28">
        <f t="shared" ref="K80:K89" si="39">J80-I80</f>
        <v>0</v>
      </c>
    </row>
    <row r="81" spans="1:11" s="25" customFormat="1" ht="76.5" outlineLevel="3">
      <c r="A81" s="26" t="s">
        <v>161</v>
      </c>
      <c r="B81" s="27" t="s">
        <v>162</v>
      </c>
      <c r="C81" s="28">
        <f>46707+597.3-597</f>
        <v>46707.3</v>
      </c>
      <c r="D81" s="28">
        <f>46707+597.3-597</f>
        <v>46707.3</v>
      </c>
      <c r="E81" s="28">
        <f t="shared" si="37"/>
        <v>0</v>
      </c>
      <c r="F81" s="28">
        <f>46576+465.77-466</f>
        <v>46575.77</v>
      </c>
      <c r="G81" s="28">
        <f>46576+465.77-466</f>
        <v>46575.77</v>
      </c>
      <c r="H81" s="28">
        <f t="shared" si="38"/>
        <v>0</v>
      </c>
      <c r="I81" s="28">
        <f>46464+354.36-354</f>
        <v>46464.36</v>
      </c>
      <c r="J81" s="28">
        <f>46464+354.36-354</f>
        <v>46464.36</v>
      </c>
      <c r="K81" s="28">
        <f t="shared" si="39"/>
        <v>0</v>
      </c>
    </row>
    <row r="82" spans="1:11" s="25" customFormat="1" ht="76.5" outlineLevel="3">
      <c r="A82" s="26" t="s">
        <v>163</v>
      </c>
      <c r="B82" s="27" t="s">
        <v>164</v>
      </c>
      <c r="C82" s="28">
        <v>10700</v>
      </c>
      <c r="D82" s="28">
        <v>10700</v>
      </c>
      <c r="E82" s="28">
        <f t="shared" si="37"/>
        <v>0</v>
      </c>
      <c r="F82" s="28">
        <v>10700</v>
      </c>
      <c r="G82" s="28">
        <v>10700</v>
      </c>
      <c r="H82" s="28">
        <f t="shared" si="38"/>
        <v>0</v>
      </c>
      <c r="I82" s="28">
        <v>10700</v>
      </c>
      <c r="J82" s="28">
        <v>10700</v>
      </c>
      <c r="K82" s="28">
        <f t="shared" si="39"/>
        <v>0</v>
      </c>
    </row>
    <row r="83" spans="1:11" s="25" customFormat="1" ht="63.75" outlineLevel="3">
      <c r="A83" s="26" t="s">
        <v>165</v>
      </c>
      <c r="B83" s="27" t="s">
        <v>166</v>
      </c>
      <c r="C83" s="28">
        <f>3567-67+66.67</f>
        <v>3566.67</v>
      </c>
      <c r="D83" s="28">
        <f>3567-67+66.67</f>
        <v>3566.67</v>
      </c>
      <c r="E83" s="28">
        <f t="shared" si="37"/>
        <v>0</v>
      </c>
      <c r="F83" s="28">
        <f>3589-89+88.89</f>
        <v>3588.89</v>
      </c>
      <c r="G83" s="28">
        <f>3589-89+88.89</f>
        <v>3588.89</v>
      </c>
      <c r="H83" s="28">
        <f t="shared" si="38"/>
        <v>0</v>
      </c>
      <c r="I83" s="28">
        <f>3619-119+118.52</f>
        <v>3618.52</v>
      </c>
      <c r="J83" s="28">
        <f>3619-119+118.52</f>
        <v>3618.52</v>
      </c>
      <c r="K83" s="28">
        <f t="shared" si="39"/>
        <v>0</v>
      </c>
    </row>
    <row r="84" spans="1:11" s="25" customFormat="1" ht="89.25" outlineLevel="3">
      <c r="A84" s="26" t="s">
        <v>167</v>
      </c>
      <c r="B84" s="27" t="s">
        <v>168</v>
      </c>
      <c r="C84" s="28">
        <v>691800</v>
      </c>
      <c r="D84" s="28">
        <v>691800</v>
      </c>
      <c r="E84" s="28">
        <f t="shared" si="37"/>
        <v>0</v>
      </c>
      <c r="F84" s="28">
        <v>691800</v>
      </c>
      <c r="G84" s="28">
        <v>691800</v>
      </c>
      <c r="H84" s="28">
        <f t="shared" si="38"/>
        <v>0</v>
      </c>
      <c r="I84" s="28">
        <v>691800</v>
      </c>
      <c r="J84" s="28">
        <v>691800</v>
      </c>
      <c r="K84" s="28">
        <f t="shared" si="39"/>
        <v>0</v>
      </c>
    </row>
    <row r="85" spans="1:11" s="25" customFormat="1" ht="114.75" outlineLevel="3">
      <c r="A85" s="26" t="s">
        <v>169</v>
      </c>
      <c r="B85" s="27" t="s">
        <v>170</v>
      </c>
      <c r="C85" s="28">
        <v>43600</v>
      </c>
      <c r="D85" s="28">
        <v>43600</v>
      </c>
      <c r="E85" s="28">
        <f t="shared" si="37"/>
        <v>0</v>
      </c>
      <c r="F85" s="28">
        <v>43600</v>
      </c>
      <c r="G85" s="28">
        <v>43600</v>
      </c>
      <c r="H85" s="28">
        <f t="shared" si="38"/>
        <v>0</v>
      </c>
      <c r="I85" s="28">
        <v>43600</v>
      </c>
      <c r="J85" s="28">
        <v>43600</v>
      </c>
      <c r="K85" s="28">
        <f t="shared" si="39"/>
        <v>0</v>
      </c>
    </row>
    <row r="86" spans="1:11" s="25" customFormat="1" ht="76.5" outlineLevel="3">
      <c r="A86" s="26" t="s">
        <v>171</v>
      </c>
      <c r="B86" s="27" t="s">
        <v>172</v>
      </c>
      <c r="C86" s="28">
        <v>2200</v>
      </c>
      <c r="D86" s="28">
        <v>2200</v>
      </c>
      <c r="E86" s="28">
        <f t="shared" si="37"/>
        <v>0</v>
      </c>
      <c r="F86" s="28">
        <v>2200</v>
      </c>
      <c r="G86" s="28">
        <v>2200</v>
      </c>
      <c r="H86" s="28">
        <f t="shared" si="38"/>
        <v>0</v>
      </c>
      <c r="I86" s="28">
        <v>2200</v>
      </c>
      <c r="J86" s="28">
        <v>2200</v>
      </c>
      <c r="K86" s="28">
        <f t="shared" si="39"/>
        <v>0</v>
      </c>
    </row>
    <row r="87" spans="1:11" s="25" customFormat="1" ht="76.5" outlineLevel="3">
      <c r="A87" s="26" t="s">
        <v>173</v>
      </c>
      <c r="B87" s="27" t="s">
        <v>174</v>
      </c>
      <c r="C87" s="28">
        <v>41200</v>
      </c>
      <c r="D87" s="28">
        <v>41200</v>
      </c>
      <c r="E87" s="28">
        <f t="shared" si="37"/>
        <v>0</v>
      </c>
      <c r="F87" s="28">
        <v>41200</v>
      </c>
      <c r="G87" s="28">
        <v>41200</v>
      </c>
      <c r="H87" s="28">
        <f t="shared" si="38"/>
        <v>0</v>
      </c>
      <c r="I87" s="28">
        <v>41200</v>
      </c>
      <c r="J87" s="28">
        <v>41200</v>
      </c>
      <c r="K87" s="28">
        <f t="shared" si="39"/>
        <v>0</v>
      </c>
    </row>
    <row r="88" spans="1:11" s="25" customFormat="1" ht="63.75" outlineLevel="3">
      <c r="A88" s="26" t="s">
        <v>175</v>
      </c>
      <c r="B88" s="27" t="s">
        <v>176</v>
      </c>
      <c r="C88" s="28">
        <f>647033+2033.33</f>
        <v>649066.32999999996</v>
      </c>
      <c r="D88" s="28">
        <f>647033+2033.33</f>
        <v>649066.32999999996</v>
      </c>
      <c r="E88" s="28">
        <f t="shared" si="37"/>
        <v>0</v>
      </c>
      <c r="F88" s="28">
        <f>647678+2677.78</f>
        <v>650355.78</v>
      </c>
      <c r="G88" s="28">
        <f>647678+2677.78</f>
        <v>650355.78</v>
      </c>
      <c r="H88" s="28">
        <f t="shared" si="38"/>
        <v>0</v>
      </c>
      <c r="I88" s="28">
        <f>647904+2903.7</f>
        <v>650807.69999999995</v>
      </c>
      <c r="J88" s="28">
        <f>647904+2903.7</f>
        <v>650807.69999999995</v>
      </c>
      <c r="K88" s="28">
        <f t="shared" si="39"/>
        <v>0</v>
      </c>
    </row>
    <row r="89" spans="1:11" s="25" customFormat="1" ht="76.5" outlineLevel="3">
      <c r="A89" s="26" t="s">
        <v>177</v>
      </c>
      <c r="B89" s="27" t="s">
        <v>178</v>
      </c>
      <c r="C89" s="28">
        <f>1135471+52471.04-52471</f>
        <v>1135471.04</v>
      </c>
      <c r="D89" s="28">
        <f>1135471+52471.04-52471</f>
        <v>1135471.04</v>
      </c>
      <c r="E89" s="28">
        <f t="shared" si="37"/>
        <v>0</v>
      </c>
      <c r="F89" s="28">
        <f>1139508+56508.26-56508</f>
        <v>1139508.26</v>
      </c>
      <c r="G89" s="28">
        <f>1139508+56508.26-56508</f>
        <v>1139508.26</v>
      </c>
      <c r="H89" s="28">
        <f t="shared" si="38"/>
        <v>0</v>
      </c>
      <c r="I89" s="28">
        <f>1136957+53957.49-53957</f>
        <v>1136957.49</v>
      </c>
      <c r="J89" s="28">
        <f>1136957+53957.49-53957</f>
        <v>1136957.49</v>
      </c>
      <c r="K89" s="28">
        <f t="shared" si="39"/>
        <v>0</v>
      </c>
    </row>
    <row r="90" spans="1:11" s="25" customFormat="1" ht="89.25" outlineLevel="2">
      <c r="A90" s="22" t="s">
        <v>179</v>
      </c>
      <c r="B90" s="35" t="s">
        <v>180</v>
      </c>
      <c r="C90" s="24">
        <f>SUM(C91:C92)</f>
        <v>50000</v>
      </c>
      <c r="D90" s="24">
        <f>SUM(D91:D92)</f>
        <v>50000</v>
      </c>
      <c r="E90" s="24">
        <f t="shared" ref="E90:K90" si="40">SUM(E91:E92)</f>
        <v>0</v>
      </c>
      <c r="F90" s="24">
        <f t="shared" si="40"/>
        <v>50000</v>
      </c>
      <c r="G90" s="24">
        <f t="shared" si="40"/>
        <v>50000</v>
      </c>
      <c r="H90" s="24">
        <f t="shared" si="38"/>
        <v>0</v>
      </c>
      <c r="I90" s="24">
        <f>SUM(I91:I92)</f>
        <v>50000</v>
      </c>
      <c r="J90" s="24">
        <f t="shared" si="40"/>
        <v>50000</v>
      </c>
      <c r="K90" s="24">
        <f t="shared" si="40"/>
        <v>0</v>
      </c>
    </row>
    <row r="91" spans="1:11" s="25" customFormat="1" ht="127.5" outlineLevel="3">
      <c r="A91" s="26" t="s">
        <v>181</v>
      </c>
      <c r="B91" s="27" t="s">
        <v>182</v>
      </c>
      <c r="C91" s="28">
        <v>20000</v>
      </c>
      <c r="D91" s="28">
        <v>20000</v>
      </c>
      <c r="E91" s="28">
        <f>D91-C91</f>
        <v>0</v>
      </c>
      <c r="F91" s="28">
        <v>20000</v>
      </c>
      <c r="G91" s="28">
        <v>20000</v>
      </c>
      <c r="H91" s="28">
        <f t="shared" si="38"/>
        <v>0</v>
      </c>
      <c r="I91" s="28">
        <v>20000</v>
      </c>
      <c r="J91" s="28">
        <v>20000</v>
      </c>
      <c r="K91" s="28">
        <f>J91-I91</f>
        <v>0</v>
      </c>
    </row>
    <row r="92" spans="1:11" s="25" customFormat="1" ht="114.75" outlineLevel="3">
      <c r="A92" s="26" t="s">
        <v>183</v>
      </c>
      <c r="B92" s="27" t="s">
        <v>184</v>
      </c>
      <c r="C92" s="28">
        <v>30000</v>
      </c>
      <c r="D92" s="28">
        <v>30000</v>
      </c>
      <c r="E92" s="28">
        <f>D92-C92</f>
        <v>0</v>
      </c>
      <c r="F92" s="28">
        <v>30000</v>
      </c>
      <c r="G92" s="28">
        <v>30000</v>
      </c>
      <c r="H92" s="28">
        <f t="shared" si="38"/>
        <v>0</v>
      </c>
      <c r="I92" s="28">
        <v>30000</v>
      </c>
      <c r="J92" s="28">
        <v>30000</v>
      </c>
      <c r="K92" s="28">
        <f>J92-I92</f>
        <v>0</v>
      </c>
    </row>
    <row r="93" spans="1:11" s="25" customFormat="1" ht="38.25" outlineLevel="2">
      <c r="A93" s="22" t="s">
        <v>185</v>
      </c>
      <c r="B93" s="23" t="s">
        <v>186</v>
      </c>
      <c r="C93" s="24">
        <f>C94</f>
        <v>165000</v>
      </c>
      <c r="D93" s="24">
        <f>D94</f>
        <v>165000</v>
      </c>
      <c r="E93" s="24">
        <f t="shared" ref="E93:F93" si="41">E94</f>
        <v>0</v>
      </c>
      <c r="F93" s="24">
        <f t="shared" si="41"/>
        <v>170000</v>
      </c>
      <c r="G93" s="24">
        <f t="shared" ref="G93" si="42">G94</f>
        <v>170000</v>
      </c>
      <c r="H93" s="24">
        <f t="shared" si="38"/>
        <v>0</v>
      </c>
      <c r="I93" s="24">
        <f t="shared" ref="I93:I98" si="43">I94</f>
        <v>175000</v>
      </c>
      <c r="J93" s="24">
        <f t="shared" ref="J93" si="44">J94</f>
        <v>175000</v>
      </c>
      <c r="K93" s="24">
        <f t="shared" ref="K93" si="45">K94</f>
        <v>0</v>
      </c>
    </row>
    <row r="94" spans="1:11" s="25" customFormat="1" ht="38.25" outlineLevel="3">
      <c r="A94" s="26" t="s">
        <v>187</v>
      </c>
      <c r="B94" s="33" t="s">
        <v>188</v>
      </c>
      <c r="C94" s="28">
        <v>165000</v>
      </c>
      <c r="D94" s="28">
        <v>165000</v>
      </c>
      <c r="E94" s="28">
        <f>D94-C94</f>
        <v>0</v>
      </c>
      <c r="F94" s="28">
        <v>170000</v>
      </c>
      <c r="G94" s="28">
        <v>170000</v>
      </c>
      <c r="H94" s="28">
        <f t="shared" si="38"/>
        <v>0</v>
      </c>
      <c r="I94" s="28">
        <v>175000</v>
      </c>
      <c r="J94" s="28">
        <v>175000</v>
      </c>
      <c r="K94" s="28">
        <f>J94-I94</f>
        <v>0</v>
      </c>
    </row>
    <row r="95" spans="1:11" s="25" customFormat="1" ht="102" outlineLevel="2">
      <c r="A95" s="22" t="s">
        <v>189</v>
      </c>
      <c r="B95" s="35" t="s">
        <v>190</v>
      </c>
      <c r="C95" s="24">
        <f>C96+C97</f>
        <v>158312.39000000001</v>
      </c>
      <c r="D95" s="24">
        <f>D96+D97</f>
        <v>158312.39000000001</v>
      </c>
      <c r="E95" s="28">
        <f>D95-C95</f>
        <v>0</v>
      </c>
      <c r="F95" s="24">
        <f>F96</f>
        <v>500000</v>
      </c>
      <c r="G95" s="24">
        <f t="shared" ref="G95" si="46">G96</f>
        <v>500000</v>
      </c>
      <c r="H95" s="24">
        <f t="shared" si="38"/>
        <v>0</v>
      </c>
      <c r="I95" s="24">
        <f t="shared" si="43"/>
        <v>500000</v>
      </c>
      <c r="J95" s="24">
        <f t="shared" ref="J95" si="47">J96</f>
        <v>500000</v>
      </c>
      <c r="K95" s="24">
        <f t="shared" ref="K95" si="48">K96</f>
        <v>0</v>
      </c>
    </row>
    <row r="96" spans="1:11" s="25" customFormat="1" ht="63.75" outlineLevel="3">
      <c r="A96" s="26" t="s">
        <v>191</v>
      </c>
      <c r="B96" s="33" t="s">
        <v>192</v>
      </c>
      <c r="C96" s="28">
        <f>500000-400000</f>
        <v>100000</v>
      </c>
      <c r="D96" s="28">
        <f>500000-400000</f>
        <v>100000</v>
      </c>
      <c r="E96" s="28">
        <f>D96-C96</f>
        <v>0</v>
      </c>
      <c r="F96" s="28">
        <v>500000</v>
      </c>
      <c r="G96" s="28">
        <v>500000</v>
      </c>
      <c r="H96" s="28">
        <f t="shared" si="38"/>
        <v>0</v>
      </c>
      <c r="I96" s="28">
        <v>500000</v>
      </c>
      <c r="J96" s="28">
        <v>500000</v>
      </c>
      <c r="K96" s="28">
        <f>J96-I96</f>
        <v>0</v>
      </c>
    </row>
    <row r="97" spans="1:27" s="25" customFormat="1" ht="63.75" outlineLevel="3">
      <c r="A97" s="31" t="s">
        <v>193</v>
      </c>
      <c r="B97" s="36" t="s">
        <v>194</v>
      </c>
      <c r="C97" s="37">
        <v>58312.39</v>
      </c>
      <c r="D97" s="37">
        <v>58312.39</v>
      </c>
      <c r="E97" s="28">
        <f>D97-C97</f>
        <v>0</v>
      </c>
      <c r="F97" s="28"/>
      <c r="G97" s="28"/>
      <c r="H97" s="28"/>
      <c r="I97" s="28"/>
      <c r="J97" s="28"/>
      <c r="K97" s="28"/>
    </row>
    <row r="98" spans="1:27" s="25" customFormat="1" ht="28.5" outlineLevel="2">
      <c r="A98" s="22" t="s">
        <v>195</v>
      </c>
      <c r="B98" s="23" t="s">
        <v>196</v>
      </c>
      <c r="C98" s="24">
        <f>C99</f>
        <v>125211014.09999999</v>
      </c>
      <c r="D98" s="24">
        <f>D99</f>
        <v>125211014.09999999</v>
      </c>
      <c r="E98" s="24">
        <f t="shared" ref="E98:K98" si="49">E99</f>
        <v>0</v>
      </c>
      <c r="F98" s="24">
        <f t="shared" si="49"/>
        <v>1000000</v>
      </c>
      <c r="G98" s="24">
        <f t="shared" si="49"/>
        <v>1000000</v>
      </c>
      <c r="H98" s="24">
        <f t="shared" ref="H98:H107" si="50">G98-F98</f>
        <v>0</v>
      </c>
      <c r="I98" s="24">
        <f t="shared" si="43"/>
        <v>1000000</v>
      </c>
      <c r="J98" s="24">
        <f t="shared" si="49"/>
        <v>1000000</v>
      </c>
      <c r="K98" s="24">
        <f t="shared" si="49"/>
        <v>0</v>
      </c>
    </row>
    <row r="99" spans="1:27" s="25" customFormat="1" ht="51" outlineLevel="3">
      <c r="A99" s="26" t="s">
        <v>197</v>
      </c>
      <c r="B99" s="33" t="s">
        <v>198</v>
      </c>
      <c r="C99" s="28">
        <f>1000000+211014.1+124000000</f>
        <v>125211014.09999999</v>
      </c>
      <c r="D99" s="28">
        <f>1000000+211014.1+124000000</f>
        <v>125211014.09999999</v>
      </c>
      <c r="E99" s="28">
        <f>D99-C99</f>
        <v>0</v>
      </c>
      <c r="F99" s="28">
        <v>1000000</v>
      </c>
      <c r="G99" s="28">
        <v>1000000</v>
      </c>
      <c r="H99" s="28">
        <f t="shared" si="50"/>
        <v>0</v>
      </c>
      <c r="I99" s="28">
        <v>1000000</v>
      </c>
      <c r="J99" s="28">
        <v>1000000</v>
      </c>
      <c r="K99" s="28">
        <f>J99-I99</f>
        <v>0</v>
      </c>
    </row>
    <row r="100" spans="1:27" s="25" customFormat="1" ht="28.5">
      <c r="A100" s="22" t="s">
        <v>199</v>
      </c>
      <c r="B100" s="23" t="s">
        <v>200</v>
      </c>
      <c r="C100" s="24">
        <f>C101+C165+C163</f>
        <v>3675962709.9899998</v>
      </c>
      <c r="D100" s="24">
        <f>D101+D165+D163</f>
        <v>4102023390.6199999</v>
      </c>
      <c r="E100" s="24">
        <f>D100-C100</f>
        <v>426060680.63000011</v>
      </c>
      <c r="F100" s="24">
        <f>F101</f>
        <v>3588946619.4700003</v>
      </c>
      <c r="G100" s="24">
        <f t="shared" ref="G100:J100" si="51">G101</f>
        <v>4006657292.5999999</v>
      </c>
      <c r="H100" s="24">
        <f t="shared" si="50"/>
        <v>417710673.12999964</v>
      </c>
      <c r="I100" s="24">
        <f>I101</f>
        <v>2290423021.9299998</v>
      </c>
      <c r="J100" s="24">
        <f t="shared" si="51"/>
        <v>2290423021.9299998</v>
      </c>
      <c r="K100" s="24">
        <f>J100-I100</f>
        <v>0</v>
      </c>
    </row>
    <row r="101" spans="1:27" s="25" customFormat="1" ht="38.25" outlineLevel="1">
      <c r="A101" s="22" t="s">
        <v>201</v>
      </c>
      <c r="B101" s="23" t="s">
        <v>202</v>
      </c>
      <c r="C101" s="24">
        <f t="shared" ref="C101:F101" si="52">C102+C104+C132+C160</f>
        <v>3682279757.7399998</v>
      </c>
      <c r="D101" s="24">
        <f t="shared" si="52"/>
        <v>4108340438.3699999</v>
      </c>
      <c r="E101" s="24">
        <f>D101-C101</f>
        <v>426060680.63000011</v>
      </c>
      <c r="F101" s="24">
        <f t="shared" si="52"/>
        <v>3588946619.4700003</v>
      </c>
      <c r="G101" s="24">
        <f t="shared" ref="G101:J101" si="53">G102+G104+G132+G160</f>
        <v>4006657292.5999999</v>
      </c>
      <c r="H101" s="24">
        <f t="shared" si="50"/>
        <v>417710673.12999964</v>
      </c>
      <c r="I101" s="24">
        <f>I102+I104+I132+I160</f>
        <v>2290423021.9299998</v>
      </c>
      <c r="J101" s="24">
        <f t="shared" si="53"/>
        <v>2290423021.9299998</v>
      </c>
      <c r="K101" s="24">
        <f>J101-I101</f>
        <v>0</v>
      </c>
    </row>
    <row r="102" spans="1:27" s="25" customFormat="1" ht="28.5" outlineLevel="2">
      <c r="A102" s="22" t="s">
        <v>203</v>
      </c>
      <c r="B102" s="23" t="s">
        <v>204</v>
      </c>
      <c r="C102" s="24">
        <f>C103</f>
        <v>83833855</v>
      </c>
      <c r="D102" s="24">
        <f>D103</f>
        <v>83833855</v>
      </c>
      <c r="E102" s="24">
        <f t="shared" ref="E102:K102" si="54">E103</f>
        <v>0</v>
      </c>
      <c r="F102" s="24">
        <f t="shared" si="54"/>
        <v>43593100</v>
      </c>
      <c r="G102" s="24">
        <f t="shared" si="54"/>
        <v>43593100</v>
      </c>
      <c r="H102" s="24">
        <f t="shared" si="50"/>
        <v>0</v>
      </c>
      <c r="I102" s="24">
        <f>I103</f>
        <v>43967200</v>
      </c>
      <c r="J102" s="24">
        <f t="shared" si="54"/>
        <v>43967200</v>
      </c>
      <c r="K102" s="24">
        <f t="shared" si="54"/>
        <v>0</v>
      </c>
    </row>
    <row r="103" spans="1:27" s="25" customFormat="1" ht="31.5" customHeight="1" outlineLevel="3">
      <c r="A103" s="26" t="s">
        <v>205</v>
      </c>
      <c r="B103" s="33" t="s">
        <v>206</v>
      </c>
      <c r="C103" s="28">
        <f>70757000+3200000+9261255+615600</f>
        <v>83833855</v>
      </c>
      <c r="D103" s="28">
        <f>70757000+3200000+9261255+615600</f>
        <v>83833855</v>
      </c>
      <c r="E103" s="28">
        <f>D103-C103</f>
        <v>0</v>
      </c>
      <c r="F103" s="28">
        <v>43593100</v>
      </c>
      <c r="G103" s="28">
        <v>43593100</v>
      </c>
      <c r="H103" s="28">
        <f t="shared" si="50"/>
        <v>0</v>
      </c>
      <c r="I103" s="28">
        <v>43967200</v>
      </c>
      <c r="J103" s="28">
        <v>43967200</v>
      </c>
      <c r="K103" s="28">
        <f>J103-I103</f>
        <v>0</v>
      </c>
    </row>
    <row r="104" spans="1:27" s="25" customFormat="1" ht="28.5" outlineLevel="2">
      <c r="A104" s="22" t="s">
        <v>207</v>
      </c>
      <c r="B104" s="23" t="s">
        <v>208</v>
      </c>
      <c r="C104" s="24">
        <f>SUM(C105:C117)</f>
        <v>1651760373.2199998</v>
      </c>
      <c r="D104" s="24">
        <f>SUM(D105:D117)</f>
        <v>2079138941.99</v>
      </c>
      <c r="E104" s="24">
        <f>SUM(E105:E117)</f>
        <v>427378568.77000004</v>
      </c>
      <c r="F104" s="24">
        <f>SUM(F105:F117)</f>
        <v>1482649418.0700002</v>
      </c>
      <c r="G104" s="24">
        <f>SUM(G105:G117)</f>
        <v>1900360091.2</v>
      </c>
      <c r="H104" s="24">
        <f t="shared" si="50"/>
        <v>417710673.12999988</v>
      </c>
      <c r="I104" s="24">
        <f>SUM(I105:I117)</f>
        <v>930816629.56999993</v>
      </c>
      <c r="J104" s="24">
        <f>SUM(J105:J117)</f>
        <v>930816629.56999993</v>
      </c>
      <c r="K104" s="24">
        <f>SUM(K105:K117)</f>
        <v>0</v>
      </c>
    </row>
    <row r="105" spans="1:27" s="25" customFormat="1" ht="33" customHeight="1" outlineLevel="3">
      <c r="A105" s="26" t="s">
        <v>209</v>
      </c>
      <c r="B105" s="33" t="s">
        <v>210</v>
      </c>
      <c r="C105" s="28">
        <f>785527700+15610177.93-236499546.34</f>
        <v>564638331.58999991</v>
      </c>
      <c r="D105" s="28">
        <f>785527700+15610177.93-236499546.34</f>
        <v>564638331.58999991</v>
      </c>
      <c r="E105" s="28">
        <f>D105-C105</f>
        <v>0</v>
      </c>
      <c r="F105" s="28">
        <v>255000000</v>
      </c>
      <c r="G105" s="28">
        <v>255000000</v>
      </c>
      <c r="H105" s="28">
        <f t="shared" si="50"/>
        <v>0</v>
      </c>
      <c r="I105" s="28">
        <v>255000000</v>
      </c>
      <c r="J105" s="28">
        <v>255000000</v>
      </c>
      <c r="K105" s="24">
        <f>SUM(K106:K118)</f>
        <v>0</v>
      </c>
      <c r="AA105" s="38">
        <f>J105-I105</f>
        <v>0</v>
      </c>
    </row>
    <row r="106" spans="1:27" s="25" customFormat="1" ht="84" customHeight="1" outlineLevel="3">
      <c r="A106" s="39" t="s">
        <v>211</v>
      </c>
      <c r="B106" s="36" t="s">
        <v>212</v>
      </c>
      <c r="C106" s="28">
        <v>0</v>
      </c>
      <c r="D106" s="28">
        <v>480591849.74000001</v>
      </c>
      <c r="E106" s="28">
        <f>D106-C106</f>
        <v>480591849.74000001</v>
      </c>
      <c r="F106" s="28">
        <v>0</v>
      </c>
      <c r="G106" s="28">
        <v>0</v>
      </c>
      <c r="H106" s="28">
        <f t="shared" si="50"/>
        <v>0</v>
      </c>
      <c r="I106" s="28">
        <v>0</v>
      </c>
      <c r="J106" s="28">
        <v>0</v>
      </c>
      <c r="K106" s="24">
        <f>SUM(K107:K120)</f>
        <v>0</v>
      </c>
    </row>
    <row r="107" spans="1:27" s="25" customFormat="1" ht="69" customHeight="1" outlineLevel="3">
      <c r="A107" s="40" t="s">
        <v>213</v>
      </c>
      <c r="B107" s="41" t="s">
        <v>214</v>
      </c>
      <c r="C107" s="28">
        <v>0</v>
      </c>
      <c r="D107" s="28">
        <v>0</v>
      </c>
      <c r="E107" s="28">
        <f>D107-C107</f>
        <v>0</v>
      </c>
      <c r="F107" s="28">
        <v>0</v>
      </c>
      <c r="G107" s="28">
        <v>417710673.13</v>
      </c>
      <c r="H107" s="28">
        <f t="shared" si="50"/>
        <v>417710673.13</v>
      </c>
      <c r="I107" s="28">
        <v>0</v>
      </c>
      <c r="J107" s="28">
        <v>0</v>
      </c>
      <c r="K107" s="24">
        <f>SUM(K108:K121)</f>
        <v>0</v>
      </c>
    </row>
    <row r="108" spans="1:27" s="25" customFormat="1" ht="38.25" outlineLevel="3">
      <c r="A108" s="26" t="s">
        <v>215</v>
      </c>
      <c r="B108" s="33" t="s">
        <v>216</v>
      </c>
      <c r="C108" s="28">
        <v>598637.97</v>
      </c>
      <c r="D108" s="28">
        <v>598637.97</v>
      </c>
      <c r="E108" s="28">
        <f t="shared" ref="E108:E166" si="55">D108-C108</f>
        <v>0</v>
      </c>
      <c r="F108" s="28">
        <v>0</v>
      </c>
      <c r="G108" s="28">
        <v>0</v>
      </c>
      <c r="H108" s="28">
        <f t="shared" ref="H108:H149" si="56">G108-F108</f>
        <v>0</v>
      </c>
      <c r="I108" s="28">
        <v>0</v>
      </c>
      <c r="J108" s="28">
        <v>0</v>
      </c>
      <c r="K108" s="28">
        <f t="shared" ref="K108:K164" si="57">J108-I108</f>
        <v>0</v>
      </c>
    </row>
    <row r="109" spans="1:27" s="25" customFormat="1" ht="51" outlineLevel="3">
      <c r="A109" s="26" t="s">
        <v>217</v>
      </c>
      <c r="B109" s="33" t="s">
        <v>218</v>
      </c>
      <c r="C109" s="28">
        <f>84464400+32.99+84464432.99-84464432.99-84464432.99</f>
        <v>0</v>
      </c>
      <c r="D109" s="28">
        <f>84464400+32.99+84464432.99-84464432.99-84464432.99</f>
        <v>0</v>
      </c>
      <c r="E109" s="28">
        <f t="shared" si="55"/>
        <v>0</v>
      </c>
      <c r="F109" s="28">
        <f>151870900+37.5</f>
        <v>151870937.5</v>
      </c>
      <c r="G109" s="28">
        <f>151870900+37.5</f>
        <v>151870937.5</v>
      </c>
      <c r="H109" s="28">
        <f t="shared" si="56"/>
        <v>0</v>
      </c>
      <c r="I109" s="28">
        <f>141330300+12.5+52083333.33</f>
        <v>193413645.82999998</v>
      </c>
      <c r="J109" s="28">
        <f>141330300+12.5+52083333.33</f>
        <v>193413645.82999998</v>
      </c>
      <c r="K109" s="28">
        <f t="shared" si="57"/>
        <v>0</v>
      </c>
    </row>
    <row r="110" spans="1:27" s="25" customFormat="1" ht="51" outlineLevel="3">
      <c r="A110" s="26" t="s">
        <v>219</v>
      </c>
      <c r="B110" s="33" t="s">
        <v>220</v>
      </c>
      <c r="C110" s="28">
        <v>151515151.52000001</v>
      </c>
      <c r="D110" s="28">
        <v>151515151.52000001</v>
      </c>
      <c r="E110" s="28">
        <f t="shared" si="55"/>
        <v>0</v>
      </c>
      <c r="F110" s="28">
        <v>0</v>
      </c>
      <c r="G110" s="28">
        <v>0</v>
      </c>
      <c r="H110" s="28">
        <f t="shared" si="56"/>
        <v>0</v>
      </c>
      <c r="I110" s="28">
        <v>0</v>
      </c>
      <c r="J110" s="28">
        <v>0</v>
      </c>
      <c r="K110" s="28">
        <f t="shared" si="57"/>
        <v>0</v>
      </c>
    </row>
    <row r="111" spans="1:27" s="25" customFormat="1" ht="33" customHeight="1" outlineLevel="3">
      <c r="A111" s="26" t="s">
        <v>221</v>
      </c>
      <c r="B111" s="33" t="s">
        <v>222</v>
      </c>
      <c r="C111" s="28">
        <v>8000000</v>
      </c>
      <c r="D111" s="28">
        <v>8000000</v>
      </c>
      <c r="E111" s="28">
        <f t="shared" si="55"/>
        <v>0</v>
      </c>
      <c r="F111" s="28">
        <v>0</v>
      </c>
      <c r="G111" s="28">
        <v>0</v>
      </c>
      <c r="H111" s="28">
        <f t="shared" si="56"/>
        <v>0</v>
      </c>
      <c r="I111" s="28">
        <v>0</v>
      </c>
      <c r="J111" s="28">
        <v>0</v>
      </c>
      <c r="K111" s="28">
        <v>0</v>
      </c>
    </row>
    <row r="112" spans="1:27" s="25" customFormat="1" ht="34.5" customHeight="1" outlineLevel="3">
      <c r="A112" s="26" t="s">
        <v>223</v>
      </c>
      <c r="B112" s="33" t="s">
        <v>224</v>
      </c>
      <c r="C112" s="28">
        <f>2183244</f>
        <v>2183244</v>
      </c>
      <c r="D112" s="28">
        <f>2183244</f>
        <v>2183244</v>
      </c>
      <c r="E112" s="28">
        <f t="shared" si="55"/>
        <v>0</v>
      </c>
      <c r="F112" s="28">
        <v>1844212.36</v>
      </c>
      <c r="G112" s="28">
        <v>1844212.36</v>
      </c>
      <c r="H112" s="28">
        <f>G112-F112</f>
        <v>0</v>
      </c>
      <c r="I112" s="28">
        <v>1919066.01</v>
      </c>
      <c r="J112" s="28">
        <v>1919066.01</v>
      </c>
      <c r="K112" s="28">
        <f t="shared" si="57"/>
        <v>0</v>
      </c>
    </row>
    <row r="113" spans="1:11" s="25" customFormat="1" ht="51" outlineLevel="3">
      <c r="A113" s="26" t="s">
        <v>225</v>
      </c>
      <c r="B113" s="33" t="s">
        <v>226</v>
      </c>
      <c r="C113" s="28">
        <f>308305127.28-34-7272727.28+93935400+7977736.55+400</f>
        <v>402945902.55000001</v>
      </c>
      <c r="D113" s="28">
        <f>308305127.28-34-7272727.28+93935400+7977736.55+400-172913.26-530890.28</f>
        <v>402242099.01000005</v>
      </c>
      <c r="E113" s="28">
        <f t="shared" si="55"/>
        <v>-703803.53999996185</v>
      </c>
      <c r="F113" s="28">
        <f>29636027.28+34-7272727.28+93935400+8059981.26+400+19405378.37</f>
        <v>143764493.63</v>
      </c>
      <c r="G113" s="28">
        <f>29636027.28+34-7272727.28+93935400+8059981.26+400+19405378.37</f>
        <v>143764493.63</v>
      </c>
      <c r="H113" s="28">
        <f t="shared" si="56"/>
        <v>0</v>
      </c>
      <c r="I113" s="28">
        <f>105002800+200</f>
        <v>105003000</v>
      </c>
      <c r="J113" s="28">
        <f>105002800+200</f>
        <v>105003000</v>
      </c>
      <c r="K113" s="28">
        <f t="shared" si="57"/>
        <v>0</v>
      </c>
    </row>
    <row r="114" spans="1:11" s="25" customFormat="1" ht="38.25" outlineLevel="3">
      <c r="A114" s="26" t="s">
        <v>227</v>
      </c>
      <c r="B114" s="33" t="s">
        <v>228</v>
      </c>
      <c r="C114" s="28">
        <v>0</v>
      </c>
      <c r="D114" s="28">
        <v>0</v>
      </c>
      <c r="E114" s="28">
        <f t="shared" si="55"/>
        <v>0</v>
      </c>
      <c r="F114" s="28">
        <v>0</v>
      </c>
      <c r="G114" s="28">
        <v>0</v>
      </c>
      <c r="H114" s="28">
        <f t="shared" si="56"/>
        <v>0</v>
      </c>
      <c r="I114" s="28">
        <v>1421000</v>
      </c>
      <c r="J114" s="28">
        <v>1421000</v>
      </c>
      <c r="K114" s="28">
        <f t="shared" si="57"/>
        <v>0</v>
      </c>
    </row>
    <row r="115" spans="1:11" s="25" customFormat="1" ht="25.5" outlineLevel="3">
      <c r="A115" s="26" t="s">
        <v>229</v>
      </c>
      <c r="B115" s="33" t="s">
        <v>230</v>
      </c>
      <c r="C115" s="28">
        <f>22283404.71-2714612</f>
        <v>19568792.710000001</v>
      </c>
      <c r="D115" s="28">
        <f>22283404.71-2714612</f>
        <v>19568792.710000001</v>
      </c>
      <c r="E115" s="28">
        <f t="shared" si="55"/>
        <v>0</v>
      </c>
      <c r="F115" s="28">
        <f>21396100-25.31</f>
        <v>21396074.690000001</v>
      </c>
      <c r="G115" s="28">
        <f>21396100-25.31</f>
        <v>21396074.690000001</v>
      </c>
      <c r="H115" s="28">
        <f t="shared" si="56"/>
        <v>0</v>
      </c>
      <c r="I115" s="28">
        <f>20512100-37.59</f>
        <v>20512062.41</v>
      </c>
      <c r="J115" s="28">
        <f>20512100-37.59</f>
        <v>20512062.41</v>
      </c>
      <c r="K115" s="28">
        <f t="shared" si="57"/>
        <v>0</v>
      </c>
    </row>
    <row r="116" spans="1:11" s="25" customFormat="1" ht="38.25" outlineLevel="3">
      <c r="A116" s="26" t="s">
        <v>231</v>
      </c>
      <c r="B116" s="33" t="s">
        <v>232</v>
      </c>
      <c r="C116" s="28">
        <v>14814814.810000001</v>
      </c>
      <c r="D116" s="28">
        <v>14814814.810000001</v>
      </c>
      <c r="E116" s="28">
        <f t="shared" si="55"/>
        <v>0</v>
      </c>
      <c r="F116" s="28">
        <v>0</v>
      </c>
      <c r="G116" s="28">
        <v>0</v>
      </c>
      <c r="H116" s="28">
        <f t="shared" si="56"/>
        <v>0</v>
      </c>
      <c r="I116" s="28">
        <v>0</v>
      </c>
      <c r="J116" s="28">
        <v>0</v>
      </c>
      <c r="K116" s="28">
        <f t="shared" si="57"/>
        <v>0</v>
      </c>
    </row>
    <row r="117" spans="1:11" s="44" customFormat="1" ht="32.25" customHeight="1" outlineLevel="3">
      <c r="A117" s="42" t="s">
        <v>233</v>
      </c>
      <c r="B117" s="43" t="s">
        <v>234</v>
      </c>
      <c r="C117" s="24">
        <f>SUM(C118:C131)</f>
        <v>487495498.06999999</v>
      </c>
      <c r="D117" s="24">
        <f>SUM(D118:D131)</f>
        <v>434986020.64000005</v>
      </c>
      <c r="E117" s="24">
        <f t="shared" ref="E117:J117" si="58">SUM(E118:E131)</f>
        <v>-52509477.43</v>
      </c>
      <c r="F117" s="24">
        <f t="shared" si="58"/>
        <v>908773699.88999999</v>
      </c>
      <c r="G117" s="24">
        <f t="shared" si="58"/>
        <v>908773699.88999999</v>
      </c>
      <c r="H117" s="24">
        <f t="shared" si="56"/>
        <v>0</v>
      </c>
      <c r="I117" s="24">
        <f>SUM(I118:I131)</f>
        <v>353547855.31999999</v>
      </c>
      <c r="J117" s="24">
        <f t="shared" si="58"/>
        <v>353547855.31999999</v>
      </c>
      <c r="K117" s="24">
        <f>SUM(K118:K131)</f>
        <v>0</v>
      </c>
    </row>
    <row r="118" spans="1:11" s="25" customFormat="1" ht="51" outlineLevel="3">
      <c r="A118" s="45" t="s">
        <v>233</v>
      </c>
      <c r="B118" s="46" t="s">
        <v>235</v>
      </c>
      <c r="C118" s="47">
        <f>6984434.21-1238088.67</f>
        <v>5746345.54</v>
      </c>
      <c r="D118" s="47">
        <f>6984434.21-1238088.67</f>
        <v>5746345.54</v>
      </c>
      <c r="E118" s="28">
        <f t="shared" si="55"/>
        <v>0</v>
      </c>
      <c r="F118" s="47">
        <f>2935100-23.37-682198.87</f>
        <v>2252877.7599999998</v>
      </c>
      <c r="G118" s="47">
        <f>2935100-23.37-682198.87</f>
        <v>2252877.7599999998</v>
      </c>
      <c r="H118" s="28">
        <f t="shared" si="56"/>
        <v>0</v>
      </c>
      <c r="I118" s="47">
        <f>2916300-6.3-661738.33</f>
        <v>2254555.37</v>
      </c>
      <c r="J118" s="47">
        <f>2916300-6.3-661738.33</f>
        <v>2254555.37</v>
      </c>
      <c r="K118" s="28">
        <f>J118-I118</f>
        <v>0</v>
      </c>
    </row>
    <row r="119" spans="1:11" s="25" customFormat="1" ht="57.75" customHeight="1" outlineLevel="3">
      <c r="A119" s="48" t="s">
        <v>233</v>
      </c>
      <c r="B119" s="49" t="s">
        <v>307</v>
      </c>
      <c r="C119" s="47">
        <v>0</v>
      </c>
      <c r="D119" s="47">
        <v>2714131.07</v>
      </c>
      <c r="E119" s="28">
        <f t="shared" si="55"/>
        <v>2714131.07</v>
      </c>
      <c r="F119" s="47">
        <v>0</v>
      </c>
      <c r="G119" s="47">
        <v>0</v>
      </c>
      <c r="H119" s="28">
        <f t="shared" si="56"/>
        <v>0</v>
      </c>
      <c r="I119" s="47">
        <v>0</v>
      </c>
      <c r="J119" s="47">
        <v>0</v>
      </c>
      <c r="K119" s="28">
        <f>J119-I119</f>
        <v>0</v>
      </c>
    </row>
    <row r="120" spans="1:11" s="25" customFormat="1" ht="51" outlineLevel="3">
      <c r="A120" s="45" t="s">
        <v>233</v>
      </c>
      <c r="B120" s="46" t="s">
        <v>236</v>
      </c>
      <c r="C120" s="47">
        <v>4647271.6399999997</v>
      </c>
      <c r="D120" s="47">
        <v>4647271.6399999997</v>
      </c>
      <c r="E120" s="28">
        <f t="shared" si="55"/>
        <v>0</v>
      </c>
      <c r="F120" s="47">
        <v>4794751.0599999996</v>
      </c>
      <c r="G120" s="47">
        <v>4794751.0599999996</v>
      </c>
      <c r="H120" s="28">
        <f t="shared" si="56"/>
        <v>0</v>
      </c>
      <c r="I120" s="47">
        <v>4942230.4800000004</v>
      </c>
      <c r="J120" s="47">
        <v>4942230.4800000004</v>
      </c>
      <c r="K120" s="28">
        <f t="shared" si="57"/>
        <v>0</v>
      </c>
    </row>
    <row r="121" spans="1:11" s="25" customFormat="1" ht="51" outlineLevel="3">
      <c r="A121" s="45" t="s">
        <v>233</v>
      </c>
      <c r="B121" s="46" t="s">
        <v>237</v>
      </c>
      <c r="C121" s="47">
        <v>2000000</v>
      </c>
      <c r="D121" s="47">
        <v>2000000</v>
      </c>
      <c r="E121" s="28">
        <f t="shared" si="55"/>
        <v>0</v>
      </c>
      <c r="F121" s="47">
        <v>2000000</v>
      </c>
      <c r="G121" s="47">
        <v>2000000</v>
      </c>
      <c r="H121" s="28">
        <f t="shared" si="56"/>
        <v>0</v>
      </c>
      <c r="I121" s="47">
        <v>2000000</v>
      </c>
      <c r="J121" s="47">
        <v>2000000</v>
      </c>
      <c r="K121" s="28">
        <f t="shared" si="57"/>
        <v>0</v>
      </c>
    </row>
    <row r="122" spans="1:11" s="25" customFormat="1" ht="38.25" outlineLevel="3">
      <c r="A122" s="45" t="s">
        <v>233</v>
      </c>
      <c r="B122" s="46" t="s">
        <v>238</v>
      </c>
      <c r="C122" s="37">
        <v>637719.59</v>
      </c>
      <c r="D122" s="37">
        <v>637719.59</v>
      </c>
      <c r="E122" s="28">
        <f t="shared" si="55"/>
        <v>0</v>
      </c>
      <c r="F122" s="37">
        <v>637032.24</v>
      </c>
      <c r="G122" s="37">
        <v>637032.24</v>
      </c>
      <c r="H122" s="28">
        <f t="shared" si="56"/>
        <v>0</v>
      </c>
      <c r="I122" s="37">
        <v>637032.24</v>
      </c>
      <c r="J122" s="37">
        <v>637032.24</v>
      </c>
      <c r="K122" s="28">
        <f t="shared" si="57"/>
        <v>0</v>
      </c>
    </row>
    <row r="123" spans="1:11" s="25" customFormat="1" ht="51" outlineLevel="3">
      <c r="A123" s="45" t="s">
        <v>239</v>
      </c>
      <c r="B123" s="46" t="s">
        <v>240</v>
      </c>
      <c r="C123" s="47">
        <f t="shared" ref="C123:G123" si="59">23155200+6.63</f>
        <v>23155206.629999999</v>
      </c>
      <c r="D123" s="47">
        <f t="shared" si="59"/>
        <v>23155206.629999999</v>
      </c>
      <c r="E123" s="28">
        <f t="shared" si="55"/>
        <v>0</v>
      </c>
      <c r="F123" s="47">
        <f t="shared" si="59"/>
        <v>23155206.629999999</v>
      </c>
      <c r="G123" s="47">
        <f t="shared" si="59"/>
        <v>23155206.629999999</v>
      </c>
      <c r="H123" s="28">
        <f t="shared" si="56"/>
        <v>0</v>
      </c>
      <c r="I123" s="37">
        <f>39780000+5.03-32000000</f>
        <v>7780005.0300000012</v>
      </c>
      <c r="J123" s="37">
        <f>39780000+5.03-32000000</f>
        <v>7780005.0300000012</v>
      </c>
      <c r="K123" s="28">
        <f t="shared" si="57"/>
        <v>0</v>
      </c>
    </row>
    <row r="124" spans="1:11" s="25" customFormat="1" ht="89.25" outlineLevel="3">
      <c r="A124" s="45" t="s">
        <v>233</v>
      </c>
      <c r="B124" s="46" t="s">
        <v>241</v>
      </c>
      <c r="C124" s="47">
        <v>1827300</v>
      </c>
      <c r="D124" s="47">
        <v>1827300</v>
      </c>
      <c r="E124" s="28">
        <f t="shared" si="55"/>
        <v>0</v>
      </c>
      <c r="F124" s="47">
        <v>456900</v>
      </c>
      <c r="G124" s="47">
        <v>456900</v>
      </c>
      <c r="H124" s="28">
        <f t="shared" si="56"/>
        <v>0</v>
      </c>
      <c r="I124" s="47">
        <v>457100</v>
      </c>
      <c r="J124" s="47">
        <v>457100</v>
      </c>
      <c r="K124" s="28">
        <f t="shared" si="57"/>
        <v>0</v>
      </c>
    </row>
    <row r="125" spans="1:11" s="25" customFormat="1" ht="58.5" customHeight="1" outlineLevel="3">
      <c r="A125" s="45" t="s">
        <v>233</v>
      </c>
      <c r="B125" s="50" t="s">
        <v>218</v>
      </c>
      <c r="C125" s="28">
        <f>201000000+84464432.99</f>
        <v>285464432.99000001</v>
      </c>
      <c r="D125" s="28">
        <f>201000000+84464432.99</f>
        <v>285464432.99000001</v>
      </c>
      <c r="E125" s="28">
        <f t="shared" ref="E125" si="60">D125-C125</f>
        <v>0</v>
      </c>
      <c r="F125" s="28">
        <f>130000000+200000000</f>
        <v>330000000</v>
      </c>
      <c r="G125" s="28">
        <f>130000000+200000000</f>
        <v>330000000</v>
      </c>
      <c r="H125" s="28">
        <f t="shared" ref="H125" si="61">G125-F125</f>
        <v>0</v>
      </c>
      <c r="I125" s="28">
        <v>0</v>
      </c>
      <c r="J125" s="28">
        <v>0</v>
      </c>
      <c r="K125" s="28">
        <f t="shared" ref="K125" si="62">J125-I125</f>
        <v>0</v>
      </c>
    </row>
    <row r="126" spans="1:11" s="25" customFormat="1" ht="38.25" outlineLevel="3">
      <c r="A126" s="45" t="s">
        <v>233</v>
      </c>
      <c r="B126" s="46" t="s">
        <v>242</v>
      </c>
      <c r="C126" s="47">
        <f>313669700-17.8-53276077.78-24304362.36-102600629.2-30179650.38</f>
        <v>103308962.48</v>
      </c>
      <c r="D126" s="47">
        <f>313669700-17.8-53276077.78-24304362.36-102600629.2-30179650.38-55223608.5</f>
        <v>48085353.980000004</v>
      </c>
      <c r="E126" s="28">
        <f t="shared" si="55"/>
        <v>-55223608.5</v>
      </c>
      <c r="F126" s="47">
        <f>335477000-67.8</f>
        <v>335476932.19999999</v>
      </c>
      <c r="G126" s="47">
        <f>335477000-67.8</f>
        <v>335476932.19999999</v>
      </c>
      <c r="H126" s="28">
        <f t="shared" si="56"/>
        <v>0</v>
      </c>
      <c r="I126" s="47">
        <f>335476900+32.2</f>
        <v>335476932.19999999</v>
      </c>
      <c r="J126" s="47">
        <f>335476900+32.2</f>
        <v>335476932.19999999</v>
      </c>
      <c r="K126" s="28">
        <f t="shared" si="57"/>
        <v>0</v>
      </c>
    </row>
    <row r="127" spans="1:11" s="25" customFormat="1" ht="44.25" customHeight="1" outlineLevel="3">
      <c r="A127" s="51" t="s">
        <v>233</v>
      </c>
      <c r="B127" s="46" t="s">
        <v>243</v>
      </c>
      <c r="C127" s="47">
        <f>550000-550000+550000</f>
        <v>550000</v>
      </c>
      <c r="D127" s="47">
        <f>550000-550000+550000</f>
        <v>550000</v>
      </c>
      <c r="E127" s="28">
        <f t="shared" si="55"/>
        <v>0</v>
      </c>
      <c r="F127" s="47">
        <v>0</v>
      </c>
      <c r="G127" s="47">
        <v>0</v>
      </c>
      <c r="H127" s="28">
        <f t="shared" si="56"/>
        <v>0</v>
      </c>
      <c r="I127" s="47">
        <v>0</v>
      </c>
      <c r="J127" s="47">
        <v>0</v>
      </c>
      <c r="K127" s="28">
        <f t="shared" si="57"/>
        <v>0</v>
      </c>
    </row>
    <row r="128" spans="1:11" s="25" customFormat="1" ht="51" outlineLevel="3">
      <c r="A128" s="45" t="s">
        <v>233</v>
      </c>
      <c r="B128" s="46" t="s">
        <v>244</v>
      </c>
      <c r="C128" s="47">
        <v>6000000</v>
      </c>
      <c r="D128" s="47">
        <v>6000000</v>
      </c>
      <c r="E128" s="28">
        <f t="shared" si="55"/>
        <v>0</v>
      </c>
      <c r="F128" s="47">
        <v>0</v>
      </c>
      <c r="G128" s="47">
        <v>0</v>
      </c>
      <c r="H128" s="28">
        <f t="shared" si="56"/>
        <v>0</v>
      </c>
      <c r="I128" s="47">
        <v>0</v>
      </c>
      <c r="J128" s="47">
        <v>0</v>
      </c>
      <c r="K128" s="28">
        <f t="shared" si="57"/>
        <v>0</v>
      </c>
    </row>
    <row r="129" spans="1:11" s="25" customFormat="1" ht="45" customHeight="1" outlineLevel="3">
      <c r="A129" s="45" t="s">
        <v>233</v>
      </c>
      <c r="B129" s="52" t="s">
        <v>245</v>
      </c>
      <c r="C129" s="47">
        <v>50000000</v>
      </c>
      <c r="D129" s="47">
        <v>50000000</v>
      </c>
      <c r="E129" s="28">
        <f t="shared" ref="E129" si="63">D129-C129</f>
        <v>0</v>
      </c>
      <c r="F129" s="47">
        <v>210000000</v>
      </c>
      <c r="G129" s="47">
        <v>210000000</v>
      </c>
      <c r="H129" s="28">
        <f t="shared" ref="H129" si="64">G129-F129</f>
        <v>0</v>
      </c>
      <c r="I129" s="47">
        <v>0</v>
      </c>
      <c r="J129" s="47">
        <v>0</v>
      </c>
      <c r="K129" s="28">
        <f t="shared" ref="K129" si="65">J129-I129</f>
        <v>0</v>
      </c>
    </row>
    <row r="130" spans="1:11" s="25" customFormat="1" ht="38.25" outlineLevel="3">
      <c r="A130" s="45" t="s">
        <v>246</v>
      </c>
      <c r="B130" s="46" t="s">
        <v>247</v>
      </c>
      <c r="C130" s="37">
        <v>645836.4</v>
      </c>
      <c r="D130" s="37">
        <v>645836.4</v>
      </c>
      <c r="E130" s="28">
        <f t="shared" si="55"/>
        <v>0</v>
      </c>
      <c r="F130" s="37">
        <v>0</v>
      </c>
      <c r="G130" s="37">
        <v>0</v>
      </c>
      <c r="H130" s="28">
        <f t="shared" si="56"/>
        <v>0</v>
      </c>
      <c r="I130" s="37">
        <v>0</v>
      </c>
      <c r="J130" s="37">
        <v>0</v>
      </c>
      <c r="K130" s="28">
        <f t="shared" si="57"/>
        <v>0</v>
      </c>
    </row>
    <row r="131" spans="1:11" s="25" customFormat="1" ht="38.25" outlineLevel="3">
      <c r="A131" s="45" t="s">
        <v>233</v>
      </c>
      <c r="B131" s="46" t="s">
        <v>248</v>
      </c>
      <c r="C131" s="47">
        <v>3512422.8</v>
      </c>
      <c r="D131" s="47">
        <v>3512422.8</v>
      </c>
      <c r="E131" s="28">
        <f t="shared" si="55"/>
        <v>0</v>
      </c>
      <c r="F131" s="47">
        <v>0</v>
      </c>
      <c r="G131" s="47">
        <v>0</v>
      </c>
      <c r="H131" s="28">
        <f t="shared" si="56"/>
        <v>0</v>
      </c>
      <c r="I131" s="47">
        <v>0</v>
      </c>
      <c r="J131" s="47">
        <v>0</v>
      </c>
      <c r="K131" s="28">
        <f t="shared" si="57"/>
        <v>0</v>
      </c>
    </row>
    <row r="132" spans="1:11" s="25" customFormat="1" ht="28.5" outlineLevel="2">
      <c r="A132" s="22" t="s">
        <v>249</v>
      </c>
      <c r="B132" s="23" t="s">
        <v>250</v>
      </c>
      <c r="C132" s="24">
        <f>SUM(C133:C139)</f>
        <v>1262173585.0999999</v>
      </c>
      <c r="D132" s="24">
        <f>SUM(D133:D139)</f>
        <v>1260855696.96</v>
      </c>
      <c r="E132" s="24">
        <f t="shared" ref="E132:K132" si="66">SUM(E133:E139)</f>
        <v>-1317888.1400000006</v>
      </c>
      <c r="F132" s="24">
        <f t="shared" si="66"/>
        <v>1260115923.6099999</v>
      </c>
      <c r="G132" s="24">
        <f t="shared" si="66"/>
        <v>1260115923.6099999</v>
      </c>
      <c r="H132" s="24">
        <f t="shared" si="56"/>
        <v>0</v>
      </c>
      <c r="I132" s="24">
        <f>SUM(I133:I139)</f>
        <v>1312651014.5699999</v>
      </c>
      <c r="J132" s="24">
        <f t="shared" si="66"/>
        <v>1312651014.5699999</v>
      </c>
      <c r="K132" s="24">
        <f t="shared" si="66"/>
        <v>0</v>
      </c>
    </row>
    <row r="133" spans="1:11" s="25" customFormat="1" ht="51" outlineLevel="3">
      <c r="A133" s="26" t="s">
        <v>251</v>
      </c>
      <c r="B133" s="33" t="s">
        <v>252</v>
      </c>
      <c r="C133" s="28">
        <f>35839700+15.1</f>
        <v>35839715.100000001</v>
      </c>
      <c r="D133" s="28">
        <f>35839700+15.1</f>
        <v>35839715.100000001</v>
      </c>
      <c r="E133" s="28">
        <f t="shared" si="55"/>
        <v>0</v>
      </c>
      <c r="F133" s="28">
        <f t="shared" ref="F133:J133" si="67">37800200-43.31</f>
        <v>37800156.689999998</v>
      </c>
      <c r="G133" s="28">
        <f t="shared" si="67"/>
        <v>37800156.689999998</v>
      </c>
      <c r="H133" s="28">
        <f t="shared" si="56"/>
        <v>0</v>
      </c>
      <c r="I133" s="28">
        <f t="shared" si="67"/>
        <v>37800156.689999998</v>
      </c>
      <c r="J133" s="28">
        <f t="shared" si="67"/>
        <v>37800156.689999998</v>
      </c>
      <c r="K133" s="28">
        <f t="shared" si="57"/>
        <v>0</v>
      </c>
    </row>
    <row r="134" spans="1:11" s="25" customFormat="1" ht="63.75" outlineLevel="3">
      <c r="A134" s="26" t="s">
        <v>253</v>
      </c>
      <c r="B134" s="33" t="s">
        <v>254</v>
      </c>
      <c r="C134" s="28">
        <f>52653096.12-7423420.67</f>
        <v>45229675.449999996</v>
      </c>
      <c r="D134" s="28">
        <f>52653096.12-7423420.67-1317888.14</f>
        <v>43911787.309999995</v>
      </c>
      <c r="E134" s="28">
        <f t="shared" si="55"/>
        <v>-1317888.1400000006</v>
      </c>
      <c r="F134" s="28">
        <v>52653096.119999997</v>
      </c>
      <c r="G134" s="28">
        <v>52653096.119999997</v>
      </c>
      <c r="H134" s="28">
        <f t="shared" si="56"/>
        <v>0</v>
      </c>
      <c r="I134" s="28">
        <v>52653096.119999997</v>
      </c>
      <c r="J134" s="28">
        <v>52653096.119999997</v>
      </c>
      <c r="K134" s="28">
        <f t="shared" si="57"/>
        <v>0</v>
      </c>
    </row>
    <row r="135" spans="1:11" s="25" customFormat="1" ht="51" outlineLevel="3">
      <c r="A135" s="26" t="s">
        <v>255</v>
      </c>
      <c r="B135" s="33" t="s">
        <v>256</v>
      </c>
      <c r="C135" s="28">
        <f>70813957.5-564572.45</f>
        <v>70249385.049999997</v>
      </c>
      <c r="D135" s="28">
        <f>70813957.5-564572.45</f>
        <v>70249385.049999997</v>
      </c>
      <c r="E135" s="28">
        <f t="shared" si="55"/>
        <v>0</v>
      </c>
      <c r="F135" s="28">
        <f>57849800+41.5-7545631.5</f>
        <v>50304210</v>
      </c>
      <c r="G135" s="28">
        <f>57849800+41.5-7545631.5</f>
        <v>50304210</v>
      </c>
      <c r="H135" s="28">
        <f t="shared" si="56"/>
        <v>0</v>
      </c>
      <c r="I135" s="28">
        <f>50304200+10</f>
        <v>50304210</v>
      </c>
      <c r="J135" s="28">
        <f>50304200+10</f>
        <v>50304210</v>
      </c>
      <c r="K135" s="28">
        <f t="shared" si="57"/>
        <v>0</v>
      </c>
    </row>
    <row r="136" spans="1:11" s="25" customFormat="1" ht="51" outlineLevel="3">
      <c r="A136" s="26" t="s">
        <v>257</v>
      </c>
      <c r="B136" s="33" t="s">
        <v>258</v>
      </c>
      <c r="C136" s="28">
        <f>17700-20</f>
        <v>17680</v>
      </c>
      <c r="D136" s="28">
        <f>17700-20</f>
        <v>17680</v>
      </c>
      <c r="E136" s="28">
        <f t="shared" si="55"/>
        <v>0</v>
      </c>
      <c r="F136" s="28">
        <f>186500-38</f>
        <v>186462</v>
      </c>
      <c r="G136" s="28">
        <f>186500-38</f>
        <v>186462</v>
      </c>
      <c r="H136" s="28">
        <f t="shared" si="56"/>
        <v>0</v>
      </c>
      <c r="I136" s="28">
        <f>17400+44</f>
        <v>17444</v>
      </c>
      <c r="J136" s="28">
        <f>17400+44</f>
        <v>17444</v>
      </c>
      <c r="K136" s="28">
        <f t="shared" si="57"/>
        <v>0</v>
      </c>
    </row>
    <row r="137" spans="1:11" s="25" customFormat="1" ht="90.75" customHeight="1" outlineLevel="3">
      <c r="A137" s="26" t="s">
        <v>259</v>
      </c>
      <c r="B137" s="27" t="s">
        <v>260</v>
      </c>
      <c r="C137" s="28">
        <v>69370560</v>
      </c>
      <c r="D137" s="28">
        <v>69370560</v>
      </c>
      <c r="E137" s="28">
        <f t="shared" si="55"/>
        <v>0</v>
      </c>
      <c r="F137" s="28">
        <v>69370560</v>
      </c>
      <c r="G137" s="28">
        <v>69370560</v>
      </c>
      <c r="H137" s="28">
        <f t="shared" si="56"/>
        <v>0</v>
      </c>
      <c r="I137" s="28">
        <v>69370560</v>
      </c>
      <c r="J137" s="28">
        <v>69370560</v>
      </c>
      <c r="K137" s="28">
        <f t="shared" si="57"/>
        <v>0</v>
      </c>
    </row>
    <row r="138" spans="1:11" s="25" customFormat="1" ht="57" customHeight="1" outlineLevel="3">
      <c r="A138" s="53" t="s">
        <v>261</v>
      </c>
      <c r="B138" s="54" t="s">
        <v>262</v>
      </c>
      <c r="C138" s="28">
        <f>45826011+2478</f>
        <v>45828489</v>
      </c>
      <c r="D138" s="28">
        <f>45826011+2478</f>
        <v>45828489</v>
      </c>
      <c r="E138" s="28">
        <f t="shared" si="55"/>
        <v>0</v>
      </c>
      <c r="F138" s="28">
        <v>43135246</v>
      </c>
      <c r="G138" s="28">
        <v>43135246</v>
      </c>
      <c r="H138" s="28">
        <v>0</v>
      </c>
      <c r="I138" s="28">
        <v>42061712</v>
      </c>
      <c r="J138" s="28">
        <v>42061712</v>
      </c>
      <c r="K138" s="28">
        <f t="shared" si="57"/>
        <v>0</v>
      </c>
    </row>
    <row r="139" spans="1:11" s="25" customFormat="1" ht="15.75" outlineLevel="3">
      <c r="A139" s="26" t="s">
        <v>246</v>
      </c>
      <c r="B139" s="33" t="s">
        <v>263</v>
      </c>
      <c r="C139" s="28">
        <f>SUM(C140:C159)</f>
        <v>995638080.5</v>
      </c>
      <c r="D139" s="28">
        <f t="shared" ref="D139:K139" si="68">SUM(D140:D159)</f>
        <v>995638080.5</v>
      </c>
      <c r="E139" s="28">
        <f t="shared" si="68"/>
        <v>0</v>
      </c>
      <c r="F139" s="28">
        <f t="shared" si="68"/>
        <v>1006666192.8</v>
      </c>
      <c r="G139" s="28">
        <f t="shared" si="68"/>
        <v>1006666192.8</v>
      </c>
      <c r="H139" s="28">
        <f t="shared" si="56"/>
        <v>0</v>
      </c>
      <c r="I139" s="28">
        <f>SUM(I140:I159)</f>
        <v>1060443835.7599999</v>
      </c>
      <c r="J139" s="28">
        <f t="shared" si="68"/>
        <v>1060443835.7599999</v>
      </c>
      <c r="K139" s="28">
        <f t="shared" si="68"/>
        <v>0</v>
      </c>
    </row>
    <row r="140" spans="1:11" s="25" customFormat="1" ht="51" outlineLevel="3">
      <c r="A140" s="45" t="s">
        <v>246</v>
      </c>
      <c r="B140" s="46" t="s">
        <v>264</v>
      </c>
      <c r="C140" s="28">
        <f>3416700+22.18</f>
        <v>3416722.18</v>
      </c>
      <c r="D140" s="28">
        <f>3416700+22.18</f>
        <v>3416722.18</v>
      </c>
      <c r="E140" s="28">
        <f t="shared" si="55"/>
        <v>0</v>
      </c>
      <c r="F140" s="28">
        <f>3606700+23.51</f>
        <v>3606723.51</v>
      </c>
      <c r="G140" s="28">
        <f>3606700+23.51</f>
        <v>3606723.51</v>
      </c>
      <c r="H140" s="28">
        <f t="shared" si="56"/>
        <v>0</v>
      </c>
      <c r="I140" s="28">
        <f>3441400-1.88</f>
        <v>3441398.12</v>
      </c>
      <c r="J140" s="28">
        <f>3441400-1.88</f>
        <v>3441398.12</v>
      </c>
      <c r="K140" s="28">
        <f t="shared" si="57"/>
        <v>0</v>
      </c>
    </row>
    <row r="141" spans="1:11" s="25" customFormat="1" ht="63.75" outlineLevel="3">
      <c r="A141" s="45" t="s">
        <v>246</v>
      </c>
      <c r="B141" s="46" t="s">
        <v>265</v>
      </c>
      <c r="C141" s="28">
        <f>57849800+41.5-7545631.5+50304210-50304210-50304210</f>
        <v>0</v>
      </c>
      <c r="D141" s="28">
        <f>57849800+41.5-7545631.5+50304210-50304210-50304210</f>
        <v>0</v>
      </c>
      <c r="E141" s="28">
        <f t="shared" si="55"/>
        <v>0</v>
      </c>
      <c r="F141" s="28">
        <v>0</v>
      </c>
      <c r="G141" s="28">
        <v>0</v>
      </c>
      <c r="H141" s="28">
        <f t="shared" si="56"/>
        <v>0</v>
      </c>
      <c r="I141" s="28">
        <v>0</v>
      </c>
      <c r="J141" s="28">
        <v>0</v>
      </c>
      <c r="K141" s="28">
        <f t="shared" si="57"/>
        <v>0</v>
      </c>
    </row>
    <row r="142" spans="1:11" s="25" customFormat="1" ht="67.5" customHeight="1" outlineLevel="3">
      <c r="A142" s="45" t="s">
        <v>246</v>
      </c>
      <c r="B142" s="46" t="s">
        <v>266</v>
      </c>
      <c r="C142" s="28">
        <f>772000-17.2-48661.2-301825.3</f>
        <v>421496.3000000001</v>
      </c>
      <c r="D142" s="28">
        <f>772000-17.2-48661.2-301825.3</f>
        <v>421496.3000000001</v>
      </c>
      <c r="E142" s="28">
        <f t="shared" si="55"/>
        <v>0</v>
      </c>
      <c r="F142" s="28">
        <f>347100-1</f>
        <v>347099</v>
      </c>
      <c r="G142" s="28">
        <f>347100-1</f>
        <v>347099</v>
      </c>
      <c r="H142" s="28">
        <f t="shared" si="56"/>
        <v>0</v>
      </c>
      <c r="I142" s="28">
        <f>301800+25.3</f>
        <v>301825.3</v>
      </c>
      <c r="J142" s="28">
        <f>301800+25.3</f>
        <v>301825.3</v>
      </c>
      <c r="K142" s="28">
        <f t="shared" si="57"/>
        <v>0</v>
      </c>
    </row>
    <row r="143" spans="1:11" s="25" customFormat="1" ht="127.5" outlineLevel="3">
      <c r="A143" s="45" t="s">
        <v>267</v>
      </c>
      <c r="B143" s="46" t="s">
        <v>268</v>
      </c>
      <c r="C143" s="28">
        <v>762372372.38999999</v>
      </c>
      <c r="D143" s="28">
        <v>762372372.38999999</v>
      </c>
      <c r="E143" s="28">
        <f t="shared" si="55"/>
        <v>0</v>
      </c>
      <c r="F143" s="28">
        <v>815854624.78999996</v>
      </c>
      <c r="G143" s="28">
        <v>815854624.78999996</v>
      </c>
      <c r="H143" s="28">
        <f t="shared" si="56"/>
        <v>0</v>
      </c>
      <c r="I143" s="28">
        <v>869853602.17999995</v>
      </c>
      <c r="J143" s="28">
        <v>869853602.17999995</v>
      </c>
      <c r="K143" s="28">
        <f t="shared" si="57"/>
        <v>0</v>
      </c>
    </row>
    <row r="144" spans="1:11" s="25" customFormat="1" ht="51" outlineLevel="3">
      <c r="A144" s="45" t="s">
        <v>267</v>
      </c>
      <c r="B144" s="46" t="s">
        <v>269</v>
      </c>
      <c r="C144" s="28">
        <f t="shared" ref="C144:G144" si="69">1104700+23.42</f>
        <v>1104723.42</v>
      </c>
      <c r="D144" s="28">
        <f t="shared" si="69"/>
        <v>1104723.42</v>
      </c>
      <c r="E144" s="28">
        <f t="shared" si="55"/>
        <v>0</v>
      </c>
      <c r="F144" s="28">
        <f t="shared" si="69"/>
        <v>1104723.42</v>
      </c>
      <c r="G144" s="28">
        <f t="shared" si="69"/>
        <v>1104723.42</v>
      </c>
      <c r="H144" s="28">
        <f t="shared" si="56"/>
        <v>0</v>
      </c>
      <c r="I144" s="28">
        <f>1104700+23.42</f>
        <v>1104723.42</v>
      </c>
      <c r="J144" s="28">
        <f>1104700+23.42</f>
        <v>1104723.42</v>
      </c>
      <c r="K144" s="28">
        <f t="shared" si="57"/>
        <v>0</v>
      </c>
    </row>
    <row r="145" spans="1:11" s="25" customFormat="1" ht="63.75" outlineLevel="3">
      <c r="A145" s="45" t="s">
        <v>267</v>
      </c>
      <c r="B145" s="46" t="s">
        <v>270</v>
      </c>
      <c r="C145" s="28">
        <v>1267455.8500000001</v>
      </c>
      <c r="D145" s="28">
        <v>1267455.8500000001</v>
      </c>
      <c r="E145" s="28">
        <f t="shared" si="55"/>
        <v>0</v>
      </c>
      <c r="F145" s="28">
        <v>1267455.8500000001</v>
      </c>
      <c r="G145" s="28">
        <v>1267455.8500000001</v>
      </c>
      <c r="H145" s="28">
        <f t="shared" si="56"/>
        <v>0</v>
      </c>
      <c r="I145" s="28">
        <v>1267455.8500000001</v>
      </c>
      <c r="J145" s="28">
        <v>1267455.8500000001</v>
      </c>
      <c r="K145" s="28">
        <f t="shared" si="57"/>
        <v>0</v>
      </c>
    </row>
    <row r="146" spans="1:11" s="25" customFormat="1" ht="38.25" outlineLevel="3">
      <c r="A146" s="45" t="s">
        <v>267</v>
      </c>
      <c r="B146" s="46" t="s">
        <v>271</v>
      </c>
      <c r="C146" s="28">
        <f>152381100+23.58+12384935.47+30000000</f>
        <v>194766059.05000001</v>
      </c>
      <c r="D146" s="28">
        <f>152381100+23.58+12384935.47+30000000</f>
        <v>194766059.05000001</v>
      </c>
      <c r="E146" s="28">
        <f t="shared" si="55"/>
        <v>0</v>
      </c>
      <c r="F146" s="28">
        <f t="shared" ref="F146:J146" si="70">153920300+26.85</f>
        <v>153920326.84999999</v>
      </c>
      <c r="G146" s="28">
        <f t="shared" si="70"/>
        <v>153920326.84999999</v>
      </c>
      <c r="H146" s="28">
        <f t="shared" si="56"/>
        <v>0</v>
      </c>
      <c r="I146" s="28">
        <f t="shared" si="70"/>
        <v>153920326.84999999</v>
      </c>
      <c r="J146" s="28">
        <f t="shared" si="70"/>
        <v>153920326.84999999</v>
      </c>
      <c r="K146" s="28">
        <f t="shared" si="57"/>
        <v>0</v>
      </c>
    </row>
    <row r="147" spans="1:11" s="25" customFormat="1" ht="51" outlineLevel="3">
      <c r="A147" s="45" t="s">
        <v>267</v>
      </c>
      <c r="B147" s="46" t="s">
        <v>272</v>
      </c>
      <c r="C147" s="28">
        <f t="shared" ref="C147:G147" si="71">2474700+15-15</f>
        <v>2474700</v>
      </c>
      <c r="D147" s="28">
        <f t="shared" si="71"/>
        <v>2474700</v>
      </c>
      <c r="E147" s="28">
        <f t="shared" si="55"/>
        <v>0</v>
      </c>
      <c r="F147" s="28">
        <f t="shared" si="71"/>
        <v>2474700</v>
      </c>
      <c r="G147" s="28">
        <f t="shared" si="71"/>
        <v>2474700</v>
      </c>
      <c r="H147" s="28">
        <f t="shared" si="56"/>
        <v>0</v>
      </c>
      <c r="I147" s="28">
        <f>2474715-15</f>
        <v>2474700</v>
      </c>
      <c r="J147" s="28">
        <f>2474715-15</f>
        <v>2474700</v>
      </c>
      <c r="K147" s="28">
        <f t="shared" si="57"/>
        <v>0</v>
      </c>
    </row>
    <row r="148" spans="1:11" s="25" customFormat="1" ht="89.25" outlineLevel="3">
      <c r="A148" s="45" t="s">
        <v>267</v>
      </c>
      <c r="B148" s="46" t="s">
        <v>273</v>
      </c>
      <c r="C148" s="28">
        <f>802235.52-35.52</f>
        <v>802200</v>
      </c>
      <c r="D148" s="28">
        <f t="shared" ref="D148:J148" si="72">802235.52-35.52</f>
        <v>802200</v>
      </c>
      <c r="E148" s="28">
        <f t="shared" si="55"/>
        <v>0</v>
      </c>
      <c r="F148" s="28">
        <f t="shared" si="72"/>
        <v>802200</v>
      </c>
      <c r="G148" s="28">
        <f t="shared" si="72"/>
        <v>802200</v>
      </c>
      <c r="H148" s="28">
        <f t="shared" si="56"/>
        <v>0</v>
      </c>
      <c r="I148" s="28">
        <f t="shared" si="72"/>
        <v>802200</v>
      </c>
      <c r="J148" s="28">
        <f t="shared" si="72"/>
        <v>802200</v>
      </c>
      <c r="K148" s="28">
        <f t="shared" si="57"/>
        <v>0</v>
      </c>
    </row>
    <row r="149" spans="1:11" s="25" customFormat="1" ht="51" outlineLevel="3">
      <c r="A149" s="45" t="s">
        <v>267</v>
      </c>
      <c r="B149" s="46" t="s">
        <v>274</v>
      </c>
      <c r="C149" s="28">
        <f t="shared" ref="C149:G149" si="73">4940000+14</f>
        <v>4940014</v>
      </c>
      <c r="D149" s="28">
        <f t="shared" si="73"/>
        <v>4940014</v>
      </c>
      <c r="E149" s="28">
        <f t="shared" si="55"/>
        <v>0</v>
      </c>
      <c r="F149" s="28">
        <f t="shared" si="73"/>
        <v>4940014</v>
      </c>
      <c r="G149" s="28">
        <f t="shared" si="73"/>
        <v>4940014</v>
      </c>
      <c r="H149" s="28">
        <f t="shared" si="56"/>
        <v>0</v>
      </c>
      <c r="I149" s="28">
        <f>4940000+14</f>
        <v>4940014</v>
      </c>
      <c r="J149" s="28">
        <f>4940000+14</f>
        <v>4940014</v>
      </c>
      <c r="K149" s="28">
        <f t="shared" si="57"/>
        <v>0</v>
      </c>
    </row>
    <row r="150" spans="1:11" s="25" customFormat="1" ht="114.75" outlineLevel="3">
      <c r="A150" s="45" t="s">
        <v>267</v>
      </c>
      <c r="B150" s="46" t="s">
        <v>275</v>
      </c>
      <c r="C150" s="28">
        <f t="shared" ref="C150:G150" si="74">300-3.95</f>
        <v>296.05</v>
      </c>
      <c r="D150" s="28">
        <f t="shared" si="74"/>
        <v>296.05</v>
      </c>
      <c r="E150" s="28">
        <f t="shared" si="55"/>
        <v>0</v>
      </c>
      <c r="F150" s="28">
        <f t="shared" si="74"/>
        <v>296.05</v>
      </c>
      <c r="G150" s="28">
        <f t="shared" si="74"/>
        <v>296.05</v>
      </c>
      <c r="H150" s="28">
        <f t="shared" ref="H150:H170" si="75">G150-F150</f>
        <v>0</v>
      </c>
      <c r="I150" s="28">
        <f>300-3.95</f>
        <v>296.05</v>
      </c>
      <c r="J150" s="28">
        <f>300-3.95</f>
        <v>296.05</v>
      </c>
      <c r="K150" s="28">
        <f t="shared" si="57"/>
        <v>0</v>
      </c>
    </row>
    <row r="151" spans="1:11" s="25" customFormat="1" ht="76.5" outlineLevel="3">
      <c r="A151" s="45" t="s">
        <v>267</v>
      </c>
      <c r="B151" s="46" t="s">
        <v>276</v>
      </c>
      <c r="C151" s="28">
        <f>156300+36.39-7944.21</f>
        <v>148392.18000000002</v>
      </c>
      <c r="D151" s="28">
        <f>156300+36.39-7944.21</f>
        <v>148392.18000000002</v>
      </c>
      <c r="E151" s="28">
        <f t="shared" si="55"/>
        <v>0</v>
      </c>
      <c r="F151" s="28">
        <f t="shared" ref="F151:J151" si="76">164500-21.28</f>
        <v>164478.72</v>
      </c>
      <c r="G151" s="28">
        <f t="shared" si="76"/>
        <v>164478.72</v>
      </c>
      <c r="H151" s="28">
        <f t="shared" si="75"/>
        <v>0</v>
      </c>
      <c r="I151" s="28">
        <f t="shared" si="76"/>
        <v>164478.72</v>
      </c>
      <c r="J151" s="28">
        <f t="shared" si="76"/>
        <v>164478.72</v>
      </c>
      <c r="K151" s="28">
        <f t="shared" si="57"/>
        <v>0</v>
      </c>
    </row>
    <row r="152" spans="1:11" s="25" customFormat="1" ht="51" outlineLevel="3">
      <c r="A152" s="45" t="s">
        <v>267</v>
      </c>
      <c r="B152" s="46" t="s">
        <v>277</v>
      </c>
      <c r="C152" s="28">
        <f t="shared" ref="C152:G152" si="77">3828400+47.95+303587.92</f>
        <v>4132035.87</v>
      </c>
      <c r="D152" s="28">
        <f t="shared" si="77"/>
        <v>4132035.87</v>
      </c>
      <c r="E152" s="28">
        <f t="shared" si="55"/>
        <v>0</v>
      </c>
      <c r="F152" s="28">
        <f t="shared" si="77"/>
        <v>4132035.87</v>
      </c>
      <c r="G152" s="28">
        <f t="shared" si="77"/>
        <v>4132035.87</v>
      </c>
      <c r="H152" s="28">
        <f t="shared" si="75"/>
        <v>0</v>
      </c>
      <c r="I152" s="28">
        <f>3828400+47.95+303587.92</f>
        <v>4132035.87</v>
      </c>
      <c r="J152" s="28">
        <f>3828400+47.95+303587.92</f>
        <v>4132035.87</v>
      </c>
      <c r="K152" s="28">
        <f t="shared" si="57"/>
        <v>0</v>
      </c>
    </row>
    <row r="153" spans="1:11" s="25" customFormat="1" ht="127.5" outlineLevel="3">
      <c r="A153" s="45" t="s">
        <v>267</v>
      </c>
      <c r="B153" s="46" t="s">
        <v>278</v>
      </c>
      <c r="C153" s="28">
        <v>5364656.6399999997</v>
      </c>
      <c r="D153" s="28">
        <v>5364656.6399999997</v>
      </c>
      <c r="E153" s="28">
        <f t="shared" si="55"/>
        <v>0</v>
      </c>
      <c r="F153" s="28">
        <v>5364656.6399999997</v>
      </c>
      <c r="G153" s="28">
        <v>5364656.6399999997</v>
      </c>
      <c r="H153" s="28">
        <f t="shared" si="75"/>
        <v>0</v>
      </c>
      <c r="I153" s="28">
        <v>5364656.6399999997</v>
      </c>
      <c r="J153" s="28">
        <v>5364656.6399999997</v>
      </c>
      <c r="K153" s="28">
        <f t="shared" si="57"/>
        <v>0</v>
      </c>
    </row>
    <row r="154" spans="1:11" s="25" customFormat="1" ht="89.25" outlineLevel="3">
      <c r="A154" s="45" t="s">
        <v>246</v>
      </c>
      <c r="B154" s="46" t="s">
        <v>279</v>
      </c>
      <c r="C154" s="28">
        <f>572249.37-22.94+9042.78</f>
        <v>581269.21000000008</v>
      </c>
      <c r="D154" s="28">
        <f>572249.37-22.94+9042.78</f>
        <v>581269.21000000008</v>
      </c>
      <c r="E154" s="28">
        <f t="shared" si="55"/>
        <v>0</v>
      </c>
      <c r="F154" s="28">
        <v>536124.81999999995</v>
      </c>
      <c r="G154" s="28">
        <v>536124.81999999995</v>
      </c>
      <c r="H154" s="28">
        <f t="shared" si="75"/>
        <v>0</v>
      </c>
      <c r="I154" s="28">
        <v>525389.48</v>
      </c>
      <c r="J154" s="28">
        <v>525389.48</v>
      </c>
      <c r="K154" s="28">
        <f t="shared" si="57"/>
        <v>0</v>
      </c>
    </row>
    <row r="155" spans="1:11" s="25" customFormat="1" ht="127.5" outlineLevel="3">
      <c r="A155" s="45" t="s">
        <v>246</v>
      </c>
      <c r="B155" s="46" t="s">
        <v>280</v>
      </c>
      <c r="C155" s="28">
        <f>10477236-5336</f>
        <v>10471900</v>
      </c>
      <c r="D155" s="28">
        <f>10477236-5336</f>
        <v>10471900</v>
      </c>
      <c r="E155" s="28">
        <f t="shared" si="55"/>
        <v>0</v>
      </c>
      <c r="F155" s="28">
        <v>10477236</v>
      </c>
      <c r="G155" s="28">
        <v>10477236</v>
      </c>
      <c r="H155" s="28">
        <f t="shared" si="75"/>
        <v>0</v>
      </c>
      <c r="I155" s="28">
        <v>10477236</v>
      </c>
      <c r="J155" s="28">
        <v>10477236</v>
      </c>
      <c r="K155" s="28">
        <f t="shared" si="57"/>
        <v>0</v>
      </c>
    </row>
    <row r="156" spans="1:11" s="25" customFormat="1" ht="102" outlineLevel="3">
      <c r="A156" s="45" t="s">
        <v>246</v>
      </c>
      <c r="B156" s="46" t="s">
        <v>281</v>
      </c>
      <c r="C156" s="28">
        <f>921690+564+904278</f>
        <v>1826532</v>
      </c>
      <c r="D156" s="28">
        <f>921690+564+904278</f>
        <v>1826532</v>
      </c>
      <c r="E156" s="28">
        <f t="shared" si="55"/>
        <v>0</v>
      </c>
      <c r="F156" s="28">
        <v>0</v>
      </c>
      <c r="G156" s="28">
        <v>0</v>
      </c>
      <c r="H156" s="28">
        <f t="shared" si="75"/>
        <v>0</v>
      </c>
      <c r="I156" s="28">
        <v>0</v>
      </c>
      <c r="J156" s="28">
        <v>0</v>
      </c>
      <c r="K156" s="28">
        <f t="shared" si="57"/>
        <v>0</v>
      </c>
    </row>
    <row r="157" spans="1:11" s="25" customFormat="1" ht="63.75" outlineLevel="3">
      <c r="A157" s="45" t="s">
        <v>246</v>
      </c>
      <c r="B157" s="46" t="s">
        <v>282</v>
      </c>
      <c r="C157" s="28">
        <v>537320</v>
      </c>
      <c r="D157" s="28">
        <v>537320</v>
      </c>
      <c r="E157" s="28">
        <f t="shared" si="55"/>
        <v>0</v>
      </c>
      <c r="F157" s="28">
        <v>537320</v>
      </c>
      <c r="G157" s="28">
        <v>537320</v>
      </c>
      <c r="H157" s="28">
        <f t="shared" si="75"/>
        <v>0</v>
      </c>
      <c r="I157" s="28">
        <v>537320</v>
      </c>
      <c r="J157" s="28">
        <v>537320</v>
      </c>
      <c r="K157" s="28">
        <f t="shared" si="57"/>
        <v>0</v>
      </c>
    </row>
    <row r="158" spans="1:11" s="25" customFormat="1" ht="100.5" customHeight="1" outlineLevel="3">
      <c r="A158" s="45" t="s">
        <v>246</v>
      </c>
      <c r="B158" s="46" t="s">
        <v>283</v>
      </c>
      <c r="C158" s="28">
        <f>1054620-117180</f>
        <v>937440</v>
      </c>
      <c r="D158" s="28">
        <f>1054620-117180</f>
        <v>937440</v>
      </c>
      <c r="E158" s="28">
        <f t="shared" ref="E158" si="78">D158-C158</f>
        <v>0</v>
      </c>
      <c r="F158" s="28">
        <v>1054620</v>
      </c>
      <c r="G158" s="28">
        <v>1054620</v>
      </c>
      <c r="H158" s="28">
        <f t="shared" ref="H158" si="79">G158-F158</f>
        <v>0</v>
      </c>
      <c r="I158" s="28">
        <v>1054620</v>
      </c>
      <c r="J158" s="28">
        <v>1054620</v>
      </c>
      <c r="K158" s="28">
        <f t="shared" ref="K158" si="80">J158-I158</f>
        <v>0</v>
      </c>
    </row>
    <row r="159" spans="1:11" s="25" customFormat="1" ht="99" customHeight="1" outlineLevel="3">
      <c r="A159" s="45" t="s">
        <v>246</v>
      </c>
      <c r="B159" s="46" t="s">
        <v>284</v>
      </c>
      <c r="C159" s="28">
        <f>81557.28-9061.92</f>
        <v>72495.360000000001</v>
      </c>
      <c r="D159" s="28">
        <f>81557.28-9061.92</f>
        <v>72495.360000000001</v>
      </c>
      <c r="E159" s="28">
        <f t="shared" si="55"/>
        <v>0</v>
      </c>
      <c r="F159" s="28">
        <v>81557.279999999999</v>
      </c>
      <c r="G159" s="28">
        <v>81557.279999999999</v>
      </c>
      <c r="H159" s="28">
        <f t="shared" si="75"/>
        <v>0</v>
      </c>
      <c r="I159" s="28">
        <v>81557.279999999999</v>
      </c>
      <c r="J159" s="28">
        <v>81557.279999999999</v>
      </c>
      <c r="K159" s="28">
        <f t="shared" si="57"/>
        <v>0</v>
      </c>
    </row>
    <row r="160" spans="1:11" s="25" customFormat="1" ht="28.5" outlineLevel="2">
      <c r="A160" s="22" t="s">
        <v>285</v>
      </c>
      <c r="B160" s="23" t="s">
        <v>286</v>
      </c>
      <c r="C160" s="24">
        <f t="shared" ref="C160:G160" si="81">SUM(C161:C162)</f>
        <v>684511944.41999996</v>
      </c>
      <c r="D160" s="24">
        <f t="shared" si="81"/>
        <v>684511944.41999996</v>
      </c>
      <c r="E160" s="24">
        <f t="shared" si="81"/>
        <v>0</v>
      </c>
      <c r="F160" s="24">
        <f t="shared" si="81"/>
        <v>802588177.78999996</v>
      </c>
      <c r="G160" s="24">
        <f t="shared" si="81"/>
        <v>802588177.78999996</v>
      </c>
      <c r="H160" s="24">
        <f t="shared" si="75"/>
        <v>0</v>
      </c>
      <c r="I160" s="24">
        <f>SUM(I161:I162)</f>
        <v>2988177.79</v>
      </c>
      <c r="J160" s="24">
        <f>SUM(J161:J162)</f>
        <v>2988177.79</v>
      </c>
      <c r="K160" s="24">
        <f>SUM(K161:K162)</f>
        <v>0</v>
      </c>
    </row>
    <row r="161" spans="1:11" s="25" customFormat="1" ht="63.75" outlineLevel="3">
      <c r="A161" s="26" t="s">
        <v>287</v>
      </c>
      <c r="B161" s="33" t="s">
        <v>288</v>
      </c>
      <c r="C161" s="28">
        <v>2988177.79</v>
      </c>
      <c r="D161" s="28">
        <v>2988177.79</v>
      </c>
      <c r="E161" s="28">
        <f t="shared" si="55"/>
        <v>0</v>
      </c>
      <c r="F161" s="28">
        <v>2988177.79</v>
      </c>
      <c r="G161" s="28">
        <v>2988177.79</v>
      </c>
      <c r="H161" s="28">
        <f t="shared" si="75"/>
        <v>0</v>
      </c>
      <c r="I161" s="28">
        <v>2988177.79</v>
      </c>
      <c r="J161" s="28">
        <v>2988177.79</v>
      </c>
      <c r="K161" s="28">
        <f t="shared" si="57"/>
        <v>0</v>
      </c>
    </row>
    <row r="162" spans="1:11" s="25" customFormat="1" ht="42.75" customHeight="1" outlineLevel="3">
      <c r="A162" s="26" t="s">
        <v>289</v>
      </c>
      <c r="B162" s="33" t="s">
        <v>290</v>
      </c>
      <c r="C162" s="28">
        <f>4200000+120000000+381000000+176323766.63</f>
        <v>681523766.63</v>
      </c>
      <c r="D162" s="28">
        <f>4200000+120000000+381000000+176323766.63</f>
        <v>681523766.63</v>
      </c>
      <c r="E162" s="28">
        <f t="shared" si="55"/>
        <v>0</v>
      </c>
      <c r="F162" s="28">
        <f>704600000+95000000</f>
        <v>799600000</v>
      </c>
      <c r="G162" s="28">
        <f>704600000+95000000</f>
        <v>799600000</v>
      </c>
      <c r="H162" s="28">
        <f t="shared" si="75"/>
        <v>0</v>
      </c>
      <c r="I162" s="28">
        <v>0</v>
      </c>
      <c r="J162" s="28">
        <v>0</v>
      </c>
      <c r="K162" s="28">
        <f t="shared" si="57"/>
        <v>0</v>
      </c>
    </row>
    <row r="163" spans="1:11" s="25" customFormat="1" ht="74.25" customHeight="1" outlineLevel="3">
      <c r="A163" s="22" t="s">
        <v>291</v>
      </c>
      <c r="B163" s="55" t="s">
        <v>292</v>
      </c>
      <c r="C163" s="24">
        <f t="shared" ref="C163:G163" si="82">C164</f>
        <v>10510344.49</v>
      </c>
      <c r="D163" s="24">
        <f t="shared" si="82"/>
        <v>10510344.49</v>
      </c>
      <c r="E163" s="24">
        <f t="shared" si="55"/>
        <v>0</v>
      </c>
      <c r="F163" s="24">
        <f t="shared" si="82"/>
        <v>0</v>
      </c>
      <c r="G163" s="24">
        <f t="shared" si="82"/>
        <v>0</v>
      </c>
      <c r="H163" s="24">
        <f t="shared" si="75"/>
        <v>0</v>
      </c>
      <c r="I163" s="24">
        <f>I164</f>
        <v>0</v>
      </c>
      <c r="J163" s="24">
        <f>J164</f>
        <v>0</v>
      </c>
      <c r="K163" s="24">
        <f t="shared" si="57"/>
        <v>0</v>
      </c>
    </row>
    <row r="164" spans="1:11" s="25" customFormat="1" ht="48" customHeight="1" outlineLevel="3">
      <c r="A164" s="26" t="s">
        <v>293</v>
      </c>
      <c r="B164" s="56" t="s">
        <v>294</v>
      </c>
      <c r="C164" s="28">
        <f>10371298+66971.01+72075.48</f>
        <v>10510344.49</v>
      </c>
      <c r="D164" s="28">
        <f>10371298+66971.01+72075.48</f>
        <v>10510344.49</v>
      </c>
      <c r="E164" s="28">
        <f t="shared" si="55"/>
        <v>0</v>
      </c>
      <c r="F164" s="28"/>
      <c r="G164" s="28"/>
      <c r="H164" s="28">
        <f t="shared" si="75"/>
        <v>0</v>
      </c>
      <c r="I164" s="28"/>
      <c r="J164" s="28"/>
      <c r="K164" s="28">
        <f t="shared" si="57"/>
        <v>0</v>
      </c>
    </row>
    <row r="165" spans="1:11" s="25" customFormat="1" ht="45.75" customHeight="1">
      <c r="A165" s="57" t="s">
        <v>295</v>
      </c>
      <c r="B165" s="58" t="s">
        <v>296</v>
      </c>
      <c r="C165" s="24">
        <f t="shared" ref="C165:G165" si="83">SUM(C166:C170)</f>
        <v>-16827392.239999998</v>
      </c>
      <c r="D165" s="24">
        <f t="shared" si="83"/>
        <v>-16827392.239999998</v>
      </c>
      <c r="E165" s="24">
        <f t="shared" si="55"/>
        <v>0</v>
      </c>
      <c r="F165" s="24">
        <f t="shared" si="83"/>
        <v>0</v>
      </c>
      <c r="G165" s="24">
        <f t="shared" si="83"/>
        <v>0</v>
      </c>
      <c r="H165" s="24">
        <f t="shared" si="75"/>
        <v>0</v>
      </c>
      <c r="I165" s="24">
        <f>SUM(I166:I170)</f>
        <v>0</v>
      </c>
      <c r="J165" s="24">
        <f>SUM(J166:J170)</f>
        <v>0</v>
      </c>
      <c r="K165" s="24">
        <f t="shared" ref="K165:K170" si="84">J165-I165</f>
        <v>0</v>
      </c>
    </row>
    <row r="166" spans="1:11" s="25" customFormat="1" ht="51" customHeight="1">
      <c r="A166" s="59" t="s">
        <v>297</v>
      </c>
      <c r="B166" s="60" t="s">
        <v>298</v>
      </c>
      <c r="C166" s="28">
        <v>-5616412.54</v>
      </c>
      <c r="D166" s="28">
        <v>-5616412.54</v>
      </c>
      <c r="E166" s="28">
        <f t="shared" si="55"/>
        <v>0</v>
      </c>
      <c r="F166" s="28">
        <f>SUM(F167:F171)</f>
        <v>0</v>
      </c>
      <c r="G166" s="28">
        <f t="shared" ref="G166" si="85">SUM(G167:G171)</f>
        <v>0</v>
      </c>
      <c r="H166" s="28">
        <f t="shared" si="75"/>
        <v>0</v>
      </c>
      <c r="I166" s="28">
        <f>SUM(I167:I171)</f>
        <v>0</v>
      </c>
      <c r="J166" s="28">
        <f t="shared" ref="J166" si="86">SUM(J167:J171)</f>
        <v>0</v>
      </c>
      <c r="K166" s="28">
        <f t="shared" si="84"/>
        <v>0</v>
      </c>
    </row>
    <row r="167" spans="1:11" s="25" customFormat="1" ht="51.75" customHeight="1">
      <c r="A167" s="59" t="s">
        <v>299</v>
      </c>
      <c r="B167" s="60" t="s">
        <v>300</v>
      </c>
      <c r="C167" s="28">
        <f>-10371298</f>
        <v>-10371298</v>
      </c>
      <c r="D167" s="28">
        <f>-10371298</f>
        <v>-10371298</v>
      </c>
      <c r="E167" s="28">
        <f t="shared" ref="E167:E170" si="87">D167-C167</f>
        <v>0</v>
      </c>
      <c r="F167" s="28"/>
      <c r="G167" s="28"/>
      <c r="H167" s="28">
        <f t="shared" si="75"/>
        <v>0</v>
      </c>
      <c r="I167" s="28"/>
      <c r="J167" s="28"/>
      <c r="K167" s="28">
        <f t="shared" si="84"/>
        <v>0</v>
      </c>
    </row>
    <row r="168" spans="1:11" s="25" customFormat="1" ht="63.75" hidden="1" customHeight="1">
      <c r="A168" s="61" t="s">
        <v>301</v>
      </c>
      <c r="B168" s="60" t="s">
        <v>302</v>
      </c>
      <c r="C168" s="28"/>
      <c r="D168" s="28"/>
      <c r="E168" s="28">
        <f t="shared" si="87"/>
        <v>0</v>
      </c>
      <c r="F168" s="62"/>
      <c r="G168" s="62"/>
      <c r="H168" s="28">
        <f t="shared" si="75"/>
        <v>0</v>
      </c>
      <c r="I168" s="62"/>
      <c r="J168" s="62"/>
      <c r="K168" s="28">
        <f t="shared" si="84"/>
        <v>0</v>
      </c>
    </row>
    <row r="169" spans="1:11" s="25" customFormat="1" ht="45.75" hidden="1" customHeight="1">
      <c r="A169" s="61" t="s">
        <v>303</v>
      </c>
      <c r="B169" s="60" t="s">
        <v>304</v>
      </c>
      <c r="C169" s="24"/>
      <c r="D169" s="24"/>
      <c r="E169" s="24">
        <f t="shared" si="87"/>
        <v>0</v>
      </c>
      <c r="F169" s="62"/>
      <c r="G169" s="62"/>
      <c r="H169" s="24">
        <f t="shared" si="75"/>
        <v>0</v>
      </c>
      <c r="I169" s="62"/>
      <c r="J169" s="62"/>
      <c r="K169" s="24">
        <f t="shared" si="84"/>
        <v>0</v>
      </c>
    </row>
    <row r="170" spans="1:11" s="25" customFormat="1" ht="49.5" customHeight="1">
      <c r="A170" s="31" t="s">
        <v>305</v>
      </c>
      <c r="B170" s="63" t="s">
        <v>306</v>
      </c>
      <c r="C170" s="28">
        <f>-0.02-66971.01-564572.45-72075.48-136062.74</f>
        <v>-839681.7</v>
      </c>
      <c r="D170" s="28">
        <f>-0.02-66971.01-564572.45-72075.48-136062.74</f>
        <v>-839681.7</v>
      </c>
      <c r="E170" s="28">
        <f t="shared" si="87"/>
        <v>0</v>
      </c>
      <c r="F170" s="28"/>
      <c r="G170" s="28"/>
      <c r="H170" s="28">
        <f t="shared" si="75"/>
        <v>0</v>
      </c>
      <c r="I170" s="28"/>
      <c r="J170" s="28"/>
      <c r="K170" s="28">
        <f t="shared" si="84"/>
        <v>0</v>
      </c>
    </row>
    <row r="171" spans="1:11" s="25" customFormat="1" ht="12.75" customHeight="1">
      <c r="A171" s="64"/>
      <c r="C171" s="65"/>
      <c r="D171" s="65"/>
      <c r="E171" s="65"/>
      <c r="F171" s="65"/>
      <c r="G171" s="65"/>
      <c r="H171" s="65"/>
      <c r="I171" s="65"/>
      <c r="J171" s="65"/>
      <c r="K171" s="65"/>
    </row>
    <row r="172" spans="1:11" s="25" customFormat="1" ht="12.75" customHeight="1">
      <c r="A172" s="64"/>
      <c r="C172" s="65"/>
      <c r="D172" s="65"/>
      <c r="E172" s="65"/>
      <c r="F172" s="65"/>
      <c r="G172" s="65"/>
      <c r="H172" s="65"/>
      <c r="I172" s="65"/>
      <c r="J172" s="65"/>
      <c r="K172" s="65"/>
    </row>
    <row r="173" spans="1:11" s="25" customFormat="1" ht="12.75" customHeight="1">
      <c r="A173" s="64"/>
      <c r="C173" s="65"/>
      <c r="D173" s="65"/>
      <c r="E173" s="65"/>
      <c r="F173" s="65"/>
      <c r="G173" s="65"/>
      <c r="H173" s="65"/>
      <c r="I173" s="65"/>
      <c r="J173" s="65"/>
      <c r="K173" s="65"/>
    </row>
    <row r="174" spans="1:11" s="25" customFormat="1" ht="12.75" customHeight="1">
      <c r="A174" s="64"/>
      <c r="C174" s="65"/>
      <c r="D174" s="65"/>
      <c r="E174" s="65"/>
      <c r="F174" s="65"/>
      <c r="G174" s="65"/>
      <c r="H174" s="65"/>
      <c r="I174" s="65"/>
      <c r="J174" s="65"/>
      <c r="K174" s="65"/>
    </row>
    <row r="175" spans="1:11" s="25" customFormat="1" ht="12.75" customHeight="1">
      <c r="A175" s="64"/>
      <c r="C175" s="65"/>
      <c r="D175" s="65"/>
      <c r="E175" s="65"/>
      <c r="F175" s="65"/>
      <c r="G175" s="65"/>
      <c r="H175" s="65"/>
      <c r="I175" s="65"/>
      <c r="J175" s="65"/>
      <c r="K175" s="65"/>
    </row>
    <row r="176" spans="1:11" s="25" customFormat="1" ht="12.75" customHeight="1">
      <c r="A176" s="64"/>
      <c r="C176" s="65"/>
      <c r="D176" s="65"/>
      <c r="E176" s="65"/>
      <c r="F176" s="65"/>
      <c r="G176" s="65"/>
      <c r="H176" s="65"/>
      <c r="I176" s="65"/>
      <c r="J176" s="65"/>
      <c r="K176" s="65"/>
    </row>
    <row r="177" spans="1:11" s="25" customFormat="1" ht="12.75" customHeight="1">
      <c r="A177" s="64"/>
      <c r="C177" s="65"/>
      <c r="D177" s="65"/>
      <c r="E177" s="65"/>
      <c r="F177" s="65"/>
      <c r="G177" s="65"/>
      <c r="H177" s="65"/>
      <c r="I177" s="65"/>
      <c r="J177" s="65"/>
      <c r="K177" s="65"/>
    </row>
    <row r="178" spans="1:11" s="25" customFormat="1" ht="12.75" customHeight="1">
      <c r="A178" s="64"/>
      <c r="C178" s="65"/>
      <c r="D178" s="65"/>
      <c r="E178" s="65"/>
      <c r="F178" s="65"/>
      <c r="G178" s="65"/>
      <c r="H178" s="65"/>
      <c r="I178" s="65"/>
      <c r="J178" s="65"/>
      <c r="K178" s="65"/>
    </row>
    <row r="179" spans="1:11" s="25" customFormat="1" ht="12.75" customHeight="1">
      <c r="A179" s="64"/>
      <c r="C179" s="65"/>
      <c r="D179" s="65"/>
      <c r="E179" s="65"/>
      <c r="F179" s="65"/>
      <c r="G179" s="65"/>
      <c r="H179" s="65"/>
      <c r="I179" s="65"/>
      <c r="J179" s="65"/>
      <c r="K179" s="65"/>
    </row>
    <row r="180" spans="1:11" s="25" customFormat="1" ht="12.75" customHeight="1">
      <c r="A180" s="64"/>
      <c r="C180" s="65"/>
      <c r="D180" s="65"/>
      <c r="E180" s="65"/>
      <c r="F180" s="65"/>
      <c r="G180" s="65"/>
      <c r="H180" s="65"/>
      <c r="I180" s="65"/>
      <c r="J180" s="65"/>
      <c r="K180" s="65"/>
    </row>
    <row r="181" spans="1:11" s="25" customFormat="1" ht="12.75" customHeight="1">
      <c r="A181" s="64"/>
      <c r="C181" s="65"/>
      <c r="D181" s="65"/>
      <c r="E181" s="65"/>
      <c r="F181" s="65"/>
      <c r="G181" s="65"/>
      <c r="H181" s="65"/>
      <c r="I181" s="65"/>
      <c r="J181" s="65"/>
      <c r="K181" s="65"/>
    </row>
    <row r="182" spans="1:11" s="25" customFormat="1" ht="12.75" customHeight="1">
      <c r="A182" s="64"/>
      <c r="C182" s="65"/>
      <c r="D182" s="65"/>
      <c r="E182" s="65"/>
      <c r="F182" s="65"/>
      <c r="G182" s="65"/>
      <c r="H182" s="65"/>
      <c r="I182" s="65"/>
      <c r="J182" s="65"/>
      <c r="K182" s="65"/>
    </row>
    <row r="183" spans="1:11" s="25" customFormat="1" ht="12.75" customHeight="1">
      <c r="A183" s="64"/>
      <c r="C183" s="65"/>
      <c r="D183" s="65"/>
      <c r="E183" s="65"/>
      <c r="F183" s="65"/>
      <c r="G183" s="65"/>
      <c r="H183" s="65"/>
      <c r="I183" s="65"/>
      <c r="J183" s="65"/>
      <c r="K183" s="65"/>
    </row>
    <row r="184" spans="1:11" s="25" customFormat="1" ht="12.75" customHeight="1">
      <c r="A184" s="64"/>
      <c r="C184" s="65"/>
      <c r="D184" s="65"/>
      <c r="E184" s="65"/>
      <c r="F184" s="65"/>
      <c r="G184" s="65"/>
      <c r="H184" s="65"/>
      <c r="I184" s="65"/>
      <c r="J184" s="65"/>
      <c r="K184" s="65"/>
    </row>
    <row r="185" spans="1:11" s="25" customFormat="1" ht="12.75" customHeight="1">
      <c r="A185" s="64"/>
      <c r="C185" s="65"/>
      <c r="D185" s="65"/>
      <c r="E185" s="65"/>
      <c r="F185" s="65"/>
      <c r="G185" s="65"/>
      <c r="H185" s="65"/>
      <c r="I185" s="65"/>
      <c r="J185" s="65"/>
      <c r="K185" s="65"/>
    </row>
    <row r="186" spans="1:11" s="25" customFormat="1" ht="12.75" customHeight="1">
      <c r="A186" s="64"/>
      <c r="C186" s="65"/>
      <c r="D186" s="65"/>
      <c r="E186" s="65"/>
      <c r="F186" s="65"/>
      <c r="G186" s="65"/>
      <c r="H186" s="65"/>
      <c r="I186" s="65"/>
      <c r="J186" s="65"/>
      <c r="K186" s="65"/>
    </row>
    <row r="187" spans="1:11" s="25" customFormat="1" ht="12.75" customHeight="1">
      <c r="A187" s="64"/>
      <c r="C187" s="65"/>
      <c r="D187" s="65"/>
      <c r="E187" s="65"/>
      <c r="F187" s="65"/>
      <c r="G187" s="65"/>
      <c r="H187" s="65"/>
      <c r="I187" s="65"/>
      <c r="J187" s="65"/>
      <c r="K187" s="65"/>
    </row>
    <row r="188" spans="1:11" s="25" customFormat="1" ht="12.75" customHeight="1">
      <c r="A188" s="64"/>
      <c r="C188" s="65"/>
      <c r="D188" s="65"/>
      <c r="E188" s="65"/>
      <c r="F188" s="65"/>
      <c r="G188" s="65"/>
      <c r="H188" s="65"/>
      <c r="I188" s="65"/>
      <c r="J188" s="65"/>
      <c r="K188" s="65"/>
    </row>
    <row r="189" spans="1:11" s="25" customFormat="1" ht="12.75" customHeight="1">
      <c r="A189" s="64"/>
      <c r="C189" s="65"/>
      <c r="D189" s="65"/>
      <c r="E189" s="65"/>
      <c r="F189" s="65"/>
      <c r="G189" s="65"/>
      <c r="H189" s="65"/>
      <c r="I189" s="65"/>
      <c r="J189" s="65"/>
      <c r="K189" s="65"/>
    </row>
    <row r="190" spans="1:11" s="25" customFormat="1" ht="12.75" customHeight="1">
      <c r="A190" s="64"/>
      <c r="C190" s="65"/>
      <c r="D190" s="65"/>
      <c r="E190" s="65"/>
      <c r="F190" s="65"/>
      <c r="G190" s="65"/>
      <c r="H190" s="65"/>
      <c r="I190" s="65"/>
      <c r="J190" s="65"/>
      <c r="K190" s="65"/>
    </row>
    <row r="191" spans="1:11" s="25" customFormat="1" ht="12.75" customHeight="1">
      <c r="A191" s="64"/>
      <c r="C191" s="65"/>
      <c r="D191" s="65"/>
      <c r="E191" s="65"/>
      <c r="F191" s="65"/>
      <c r="G191" s="65"/>
      <c r="H191" s="65"/>
      <c r="I191" s="65"/>
      <c r="J191" s="65"/>
      <c r="K191" s="65"/>
    </row>
    <row r="192" spans="1:11" s="25" customFormat="1" ht="12.75" customHeight="1">
      <c r="A192" s="64"/>
      <c r="C192" s="65"/>
      <c r="D192" s="65"/>
      <c r="E192" s="65"/>
      <c r="F192" s="65"/>
      <c r="G192" s="65"/>
      <c r="H192" s="65"/>
      <c r="I192" s="65"/>
      <c r="J192" s="65"/>
      <c r="K192" s="65"/>
    </row>
    <row r="193" spans="1:11" s="25" customFormat="1" ht="12.75" customHeight="1">
      <c r="A193" s="64"/>
      <c r="C193" s="65"/>
      <c r="D193" s="65"/>
      <c r="E193" s="65"/>
      <c r="F193" s="65"/>
      <c r="G193" s="65"/>
      <c r="H193" s="65"/>
      <c r="I193" s="65"/>
      <c r="J193" s="65"/>
      <c r="K193" s="65"/>
    </row>
    <row r="194" spans="1:11" s="25" customFormat="1" ht="12.75" customHeight="1">
      <c r="A194" s="64"/>
      <c r="C194" s="65"/>
      <c r="D194" s="65"/>
      <c r="E194" s="65"/>
      <c r="F194" s="65"/>
      <c r="G194" s="65"/>
      <c r="H194" s="65"/>
      <c r="I194" s="65"/>
      <c r="J194" s="65"/>
      <c r="K194" s="65"/>
    </row>
    <row r="195" spans="1:11" s="25" customFormat="1" ht="12.75" customHeight="1">
      <c r="A195" s="64"/>
      <c r="C195" s="65"/>
      <c r="D195" s="65"/>
      <c r="E195" s="65"/>
      <c r="F195" s="65"/>
      <c r="G195" s="65"/>
      <c r="H195" s="65"/>
      <c r="I195" s="65"/>
      <c r="J195" s="65"/>
      <c r="K195" s="65"/>
    </row>
    <row r="196" spans="1:11" s="25" customFormat="1" ht="12.75" customHeight="1">
      <c r="A196" s="64"/>
      <c r="C196" s="65"/>
      <c r="D196" s="65"/>
      <c r="E196" s="65"/>
      <c r="F196" s="65"/>
      <c r="G196" s="65"/>
      <c r="H196" s="65"/>
      <c r="I196" s="65"/>
      <c r="J196" s="65"/>
      <c r="K196" s="65"/>
    </row>
    <row r="197" spans="1:11" s="25" customFormat="1" ht="12.75" customHeight="1">
      <c r="A197" s="64"/>
      <c r="C197" s="65"/>
      <c r="D197" s="65"/>
      <c r="E197" s="65"/>
      <c r="F197" s="65"/>
      <c r="G197" s="65"/>
      <c r="H197" s="65"/>
      <c r="I197" s="65"/>
      <c r="J197" s="65"/>
      <c r="K197" s="65"/>
    </row>
    <row r="198" spans="1:11" s="25" customFormat="1" ht="12.75" customHeight="1">
      <c r="A198" s="64"/>
      <c r="C198" s="65"/>
      <c r="D198" s="65"/>
      <c r="E198" s="65"/>
      <c r="F198" s="65"/>
      <c r="G198" s="65"/>
      <c r="H198" s="65"/>
      <c r="I198" s="65"/>
      <c r="J198" s="65"/>
      <c r="K198" s="65"/>
    </row>
    <row r="199" spans="1:11" s="25" customFormat="1" ht="12.75" customHeight="1">
      <c r="A199" s="64"/>
      <c r="C199" s="65"/>
      <c r="D199" s="65"/>
      <c r="E199" s="65"/>
      <c r="F199" s="65"/>
      <c r="G199" s="65"/>
      <c r="H199" s="65"/>
      <c r="I199" s="65"/>
      <c r="J199" s="65"/>
      <c r="K199" s="65"/>
    </row>
    <row r="200" spans="1:11" s="25" customFormat="1" ht="12.75" customHeight="1">
      <c r="A200" s="64"/>
      <c r="C200" s="65"/>
      <c r="D200" s="65"/>
      <c r="E200" s="65"/>
      <c r="F200" s="65"/>
      <c r="G200" s="65"/>
      <c r="H200" s="65"/>
      <c r="I200" s="65"/>
      <c r="J200" s="65"/>
      <c r="K200" s="65"/>
    </row>
    <row r="201" spans="1:11" s="25" customFormat="1" ht="12.75" customHeight="1">
      <c r="A201" s="64"/>
      <c r="C201" s="65"/>
      <c r="D201" s="65"/>
      <c r="E201" s="65"/>
      <c r="F201" s="65"/>
      <c r="G201" s="65"/>
      <c r="H201" s="65"/>
      <c r="I201" s="65"/>
      <c r="J201" s="65"/>
      <c r="K201" s="65"/>
    </row>
    <row r="202" spans="1:11" s="25" customFormat="1" ht="12.75" customHeight="1">
      <c r="A202" s="64"/>
      <c r="C202" s="65"/>
      <c r="D202" s="65"/>
      <c r="E202" s="65"/>
      <c r="F202" s="65"/>
      <c r="G202" s="65"/>
      <c r="H202" s="65"/>
      <c r="I202" s="65"/>
      <c r="J202" s="65"/>
      <c r="K202" s="65"/>
    </row>
    <row r="203" spans="1:11" s="25" customFormat="1" ht="12.75" customHeight="1">
      <c r="A203" s="64"/>
      <c r="C203" s="65"/>
      <c r="D203" s="65"/>
      <c r="E203" s="65"/>
      <c r="F203" s="65"/>
      <c r="G203" s="65"/>
      <c r="H203" s="65"/>
      <c r="I203" s="65"/>
      <c r="J203" s="65"/>
      <c r="K203" s="65"/>
    </row>
    <row r="204" spans="1:11" s="25" customFormat="1" ht="12.75" customHeight="1">
      <c r="A204" s="64"/>
      <c r="C204" s="65"/>
      <c r="D204" s="65"/>
      <c r="E204" s="65"/>
      <c r="F204" s="65"/>
      <c r="G204" s="65"/>
      <c r="H204" s="65"/>
      <c r="I204" s="65"/>
      <c r="J204" s="65"/>
      <c r="K204" s="65"/>
    </row>
    <row r="205" spans="1:11" s="25" customFormat="1" ht="12.75" customHeight="1">
      <c r="A205" s="64"/>
      <c r="C205" s="65"/>
      <c r="D205" s="65"/>
      <c r="E205" s="65"/>
      <c r="F205" s="65"/>
      <c r="G205" s="65"/>
      <c r="H205" s="65"/>
      <c r="I205" s="65"/>
      <c r="J205" s="65"/>
      <c r="K205" s="65"/>
    </row>
    <row r="206" spans="1:11" s="25" customFormat="1" ht="12.75" customHeight="1">
      <c r="A206" s="64"/>
      <c r="C206" s="65"/>
      <c r="D206" s="65"/>
      <c r="E206" s="65"/>
      <c r="F206" s="65"/>
      <c r="G206" s="65"/>
      <c r="H206" s="65"/>
      <c r="I206" s="65"/>
      <c r="J206" s="65"/>
      <c r="K206" s="65"/>
    </row>
    <row r="207" spans="1:11" s="25" customFormat="1" ht="12.75" customHeight="1">
      <c r="A207" s="64"/>
      <c r="C207" s="65"/>
      <c r="D207" s="65"/>
      <c r="E207" s="65"/>
      <c r="F207" s="65"/>
      <c r="G207" s="65"/>
      <c r="H207" s="65"/>
      <c r="I207" s="65"/>
      <c r="J207" s="65"/>
      <c r="K207" s="65"/>
    </row>
    <row r="208" spans="1:11" s="25" customFormat="1" ht="12.75" customHeight="1">
      <c r="A208" s="64"/>
      <c r="C208" s="65"/>
      <c r="D208" s="65"/>
      <c r="E208" s="65"/>
      <c r="F208" s="65"/>
      <c r="G208" s="65"/>
      <c r="H208" s="65"/>
      <c r="I208" s="65"/>
      <c r="J208" s="65"/>
      <c r="K208" s="65"/>
    </row>
    <row r="209" spans="1:11" s="25" customFormat="1" ht="12.75" customHeight="1">
      <c r="A209" s="64"/>
      <c r="C209" s="65"/>
      <c r="D209" s="65"/>
      <c r="E209" s="65"/>
      <c r="F209" s="65"/>
      <c r="G209" s="65"/>
      <c r="H209" s="65"/>
      <c r="I209" s="65"/>
      <c r="J209" s="65"/>
      <c r="K209" s="65"/>
    </row>
    <row r="210" spans="1:11" s="25" customFormat="1" ht="12.75" customHeight="1">
      <c r="A210" s="64"/>
      <c r="C210" s="65"/>
      <c r="D210" s="65"/>
      <c r="E210" s="65"/>
      <c r="F210" s="65"/>
      <c r="G210" s="65"/>
      <c r="H210" s="65"/>
      <c r="I210" s="65"/>
      <c r="J210" s="65"/>
      <c r="K210" s="65"/>
    </row>
    <row r="211" spans="1:11" s="25" customFormat="1" ht="12.75" customHeight="1">
      <c r="A211" s="64"/>
      <c r="C211" s="65"/>
      <c r="D211" s="65"/>
      <c r="E211" s="65"/>
      <c r="F211" s="65"/>
      <c r="G211" s="65"/>
      <c r="H211" s="65"/>
      <c r="I211" s="65"/>
      <c r="J211" s="65"/>
      <c r="K211" s="65"/>
    </row>
    <row r="212" spans="1:11" s="25" customFormat="1" ht="12.75" customHeight="1">
      <c r="A212" s="64"/>
      <c r="C212" s="65"/>
      <c r="D212" s="65"/>
      <c r="E212" s="65"/>
      <c r="F212" s="65"/>
      <c r="G212" s="65"/>
      <c r="H212" s="65"/>
      <c r="I212" s="65"/>
      <c r="J212" s="65"/>
      <c r="K212" s="65"/>
    </row>
    <row r="213" spans="1:11" s="25" customFormat="1" ht="12.75" customHeight="1">
      <c r="A213" s="64"/>
      <c r="C213" s="65"/>
      <c r="D213" s="65"/>
      <c r="E213" s="65"/>
      <c r="F213" s="65"/>
      <c r="G213" s="65"/>
      <c r="H213" s="65"/>
      <c r="I213" s="65"/>
      <c r="J213" s="65"/>
      <c r="K213" s="65"/>
    </row>
    <row r="214" spans="1:11" s="25" customFormat="1" ht="12.75" customHeight="1">
      <c r="A214" s="64"/>
      <c r="C214" s="65"/>
      <c r="D214" s="65"/>
      <c r="E214" s="65"/>
      <c r="F214" s="65"/>
      <c r="G214" s="65"/>
      <c r="H214" s="65"/>
      <c r="I214" s="65"/>
      <c r="J214" s="65"/>
      <c r="K214" s="65"/>
    </row>
    <row r="215" spans="1:11" s="25" customFormat="1" ht="12.75" customHeight="1">
      <c r="A215" s="64"/>
      <c r="C215" s="65"/>
      <c r="D215" s="65"/>
      <c r="E215" s="65"/>
      <c r="F215" s="65"/>
      <c r="G215" s="65"/>
      <c r="H215" s="65"/>
      <c r="I215" s="65"/>
      <c r="J215" s="65"/>
      <c r="K215" s="65"/>
    </row>
    <row r="216" spans="1:11" s="25" customFormat="1" ht="12.75" customHeight="1">
      <c r="A216" s="64"/>
      <c r="C216" s="65"/>
      <c r="D216" s="65"/>
      <c r="E216" s="65"/>
      <c r="F216" s="65"/>
      <c r="G216" s="65"/>
      <c r="H216" s="65"/>
      <c r="I216" s="65"/>
      <c r="J216" s="65"/>
      <c r="K216" s="65"/>
    </row>
    <row r="217" spans="1:11" s="25" customFormat="1" ht="12.75" customHeight="1">
      <c r="A217" s="64"/>
      <c r="C217" s="65"/>
      <c r="D217" s="65"/>
      <c r="E217" s="65"/>
      <c r="F217" s="65"/>
      <c r="G217" s="65"/>
      <c r="H217" s="65"/>
      <c r="I217" s="65"/>
      <c r="J217" s="65"/>
      <c r="K217" s="65"/>
    </row>
    <row r="218" spans="1:11" s="25" customFormat="1" ht="12.75" customHeight="1">
      <c r="A218" s="64"/>
      <c r="C218" s="65"/>
      <c r="D218" s="65"/>
      <c r="E218" s="65"/>
      <c r="F218" s="65"/>
      <c r="G218" s="65"/>
      <c r="H218" s="65"/>
      <c r="I218" s="65"/>
      <c r="J218" s="65"/>
      <c r="K218" s="65"/>
    </row>
    <row r="219" spans="1:11" s="25" customFormat="1" ht="12.75" customHeight="1">
      <c r="A219" s="64"/>
      <c r="C219" s="65"/>
      <c r="D219" s="65"/>
      <c r="E219" s="65"/>
      <c r="F219" s="65"/>
      <c r="G219" s="65"/>
      <c r="H219" s="65"/>
      <c r="I219" s="65"/>
      <c r="J219" s="65"/>
      <c r="K219" s="65"/>
    </row>
    <row r="220" spans="1:11" s="25" customFormat="1" ht="12.75" customHeight="1">
      <c r="A220" s="64"/>
      <c r="C220" s="65"/>
      <c r="D220" s="65"/>
      <c r="E220" s="65"/>
      <c r="F220" s="65"/>
      <c r="G220" s="65"/>
      <c r="H220" s="65"/>
      <c r="I220" s="65"/>
      <c r="J220" s="65"/>
      <c r="K220" s="65"/>
    </row>
    <row r="221" spans="1:11" s="25" customFormat="1" ht="12.75" customHeight="1">
      <c r="A221" s="64"/>
      <c r="C221" s="65"/>
      <c r="D221" s="65"/>
      <c r="E221" s="65"/>
      <c r="F221" s="65"/>
      <c r="G221" s="65"/>
      <c r="H221" s="65"/>
      <c r="I221" s="65"/>
      <c r="J221" s="65"/>
      <c r="K221" s="65"/>
    </row>
    <row r="222" spans="1:11" s="25" customFormat="1" ht="12.75" customHeight="1">
      <c r="A222" s="64"/>
      <c r="C222" s="65"/>
      <c r="D222" s="65"/>
      <c r="E222" s="65"/>
      <c r="F222" s="65"/>
      <c r="G222" s="65"/>
      <c r="H222" s="65"/>
      <c r="I222" s="65"/>
      <c r="J222" s="65"/>
      <c r="K222" s="65"/>
    </row>
    <row r="223" spans="1:11" s="25" customFormat="1" ht="12.75" customHeight="1">
      <c r="A223" s="64"/>
      <c r="C223" s="65"/>
      <c r="D223" s="65"/>
      <c r="E223" s="65"/>
      <c r="F223" s="65"/>
      <c r="G223" s="65"/>
      <c r="H223" s="65"/>
      <c r="I223" s="65"/>
      <c r="J223" s="65"/>
      <c r="K223" s="65"/>
    </row>
    <row r="224" spans="1:11" s="25" customFormat="1" ht="12.75" customHeight="1">
      <c r="A224" s="64"/>
      <c r="C224" s="65"/>
      <c r="D224" s="65"/>
      <c r="E224" s="65"/>
      <c r="F224" s="65"/>
      <c r="G224" s="65"/>
      <c r="H224" s="65"/>
      <c r="I224" s="65"/>
      <c r="J224" s="65"/>
      <c r="K224" s="65"/>
    </row>
    <row r="225" spans="1:11" s="25" customFormat="1" ht="12.75" customHeight="1">
      <c r="A225" s="64"/>
      <c r="C225" s="65"/>
      <c r="D225" s="65"/>
      <c r="E225" s="65"/>
      <c r="F225" s="65"/>
      <c r="G225" s="65"/>
      <c r="H225" s="65"/>
      <c r="I225" s="65"/>
      <c r="J225" s="65"/>
      <c r="K225" s="65"/>
    </row>
    <row r="226" spans="1:11" s="25" customFormat="1" ht="12.75" customHeight="1">
      <c r="A226" s="64"/>
      <c r="C226" s="65"/>
      <c r="D226" s="65"/>
      <c r="E226" s="65"/>
      <c r="F226" s="65"/>
      <c r="G226" s="65"/>
      <c r="H226" s="65"/>
      <c r="I226" s="65"/>
      <c r="J226" s="65"/>
      <c r="K226" s="65"/>
    </row>
    <row r="227" spans="1:11" s="25" customFormat="1" ht="12.75" customHeight="1">
      <c r="A227" s="64"/>
      <c r="C227" s="65"/>
      <c r="D227" s="65"/>
      <c r="E227" s="65"/>
      <c r="F227" s="65"/>
      <c r="G227" s="65"/>
      <c r="H227" s="65"/>
      <c r="I227" s="65"/>
      <c r="J227" s="65"/>
      <c r="K227" s="65"/>
    </row>
    <row r="228" spans="1:11" s="25" customFormat="1" ht="12.75" customHeight="1">
      <c r="A228" s="64"/>
      <c r="C228" s="65"/>
      <c r="D228" s="65"/>
      <c r="E228" s="65"/>
      <c r="F228" s="65"/>
      <c r="G228" s="65"/>
      <c r="H228" s="65"/>
      <c r="I228" s="65"/>
      <c r="J228" s="65"/>
      <c r="K228" s="65"/>
    </row>
    <row r="229" spans="1:11" s="25" customFormat="1" ht="12.75" customHeight="1">
      <c r="A229" s="64"/>
      <c r="C229" s="65"/>
      <c r="D229" s="65"/>
      <c r="E229" s="65"/>
      <c r="F229" s="65"/>
      <c r="G229" s="65"/>
      <c r="H229" s="65"/>
      <c r="I229" s="65"/>
      <c r="J229" s="65"/>
      <c r="K229" s="65"/>
    </row>
    <row r="230" spans="1:11" s="25" customFormat="1" ht="12.75" customHeight="1">
      <c r="A230" s="64"/>
      <c r="C230" s="65"/>
      <c r="D230" s="65"/>
      <c r="E230" s="65"/>
      <c r="F230" s="65"/>
      <c r="G230" s="65"/>
      <c r="H230" s="65"/>
      <c r="I230" s="65"/>
      <c r="J230" s="65"/>
      <c r="K230" s="65"/>
    </row>
    <row r="231" spans="1:11" s="25" customFormat="1" ht="12.75" customHeight="1">
      <c r="A231" s="64"/>
      <c r="C231" s="65"/>
      <c r="D231" s="65"/>
      <c r="E231" s="65"/>
      <c r="F231" s="65"/>
      <c r="G231" s="65"/>
      <c r="H231" s="65"/>
      <c r="I231" s="65"/>
      <c r="J231" s="65"/>
      <c r="K231" s="65"/>
    </row>
    <row r="232" spans="1:11" s="25" customFormat="1" ht="12.75" customHeight="1">
      <c r="A232" s="64"/>
      <c r="C232" s="65"/>
      <c r="D232" s="65"/>
      <c r="E232" s="65"/>
      <c r="F232" s="65"/>
      <c r="G232" s="65"/>
      <c r="H232" s="65"/>
      <c r="I232" s="65"/>
      <c r="J232" s="65"/>
      <c r="K232" s="65"/>
    </row>
    <row r="233" spans="1:11" s="25" customFormat="1" ht="12.75" customHeight="1">
      <c r="A233" s="64"/>
      <c r="C233" s="65"/>
      <c r="D233" s="65"/>
      <c r="E233" s="65"/>
      <c r="F233" s="65"/>
      <c r="G233" s="65"/>
      <c r="H233" s="65"/>
      <c r="I233" s="65"/>
      <c r="J233" s="65"/>
      <c r="K233" s="65"/>
    </row>
    <row r="234" spans="1:11" s="25" customFormat="1" ht="12.75" customHeight="1">
      <c r="A234" s="64"/>
      <c r="C234" s="65"/>
      <c r="D234" s="65"/>
      <c r="E234" s="65"/>
      <c r="F234" s="65"/>
      <c r="G234" s="65"/>
      <c r="H234" s="65"/>
      <c r="I234" s="65"/>
      <c r="J234" s="65"/>
      <c r="K234" s="65"/>
    </row>
    <row r="235" spans="1:11" s="25" customFormat="1" ht="12.75" customHeight="1">
      <c r="A235" s="64"/>
      <c r="C235" s="65"/>
      <c r="D235" s="65"/>
      <c r="E235" s="65"/>
      <c r="F235" s="65"/>
      <c r="G235" s="65"/>
      <c r="H235" s="65"/>
      <c r="I235" s="65"/>
      <c r="J235" s="65"/>
      <c r="K235" s="65"/>
    </row>
    <row r="236" spans="1:11" s="25" customFormat="1" ht="12.75" customHeight="1">
      <c r="A236" s="64"/>
      <c r="C236" s="65"/>
      <c r="D236" s="65"/>
      <c r="E236" s="65"/>
      <c r="F236" s="65"/>
      <c r="G236" s="65"/>
      <c r="H236" s="65"/>
      <c r="I236" s="65"/>
      <c r="J236" s="65"/>
      <c r="K236" s="65"/>
    </row>
    <row r="237" spans="1:11" s="25" customFormat="1" ht="12.75" customHeight="1">
      <c r="A237" s="64"/>
      <c r="C237" s="65"/>
      <c r="D237" s="65"/>
      <c r="E237" s="65"/>
      <c r="F237" s="65"/>
      <c r="G237" s="65"/>
      <c r="H237" s="65"/>
      <c r="I237" s="65"/>
      <c r="J237" s="65"/>
      <c r="K237" s="65"/>
    </row>
    <row r="238" spans="1:11" s="25" customFormat="1" ht="12.75" customHeight="1">
      <c r="A238" s="64"/>
      <c r="C238" s="65"/>
      <c r="D238" s="65"/>
      <c r="E238" s="65"/>
      <c r="F238" s="65"/>
      <c r="G238" s="65"/>
      <c r="H238" s="65"/>
      <c r="I238" s="65"/>
      <c r="J238" s="65"/>
      <c r="K238" s="65"/>
    </row>
    <row r="239" spans="1:11" s="25" customFormat="1" ht="12.75" customHeight="1">
      <c r="A239" s="64"/>
      <c r="C239" s="65"/>
      <c r="D239" s="65"/>
      <c r="E239" s="65"/>
      <c r="F239" s="65"/>
      <c r="G239" s="65"/>
      <c r="H239" s="65"/>
      <c r="I239" s="65"/>
      <c r="J239" s="65"/>
      <c r="K239" s="65"/>
    </row>
    <row r="240" spans="1:11" s="25" customFormat="1" ht="12.75" customHeight="1">
      <c r="A240" s="64"/>
      <c r="C240" s="65"/>
      <c r="D240" s="65"/>
      <c r="E240" s="65"/>
      <c r="F240" s="65"/>
      <c r="G240" s="65"/>
      <c r="H240" s="65"/>
      <c r="I240" s="65"/>
      <c r="J240" s="65"/>
      <c r="K240" s="65"/>
    </row>
    <row r="241" spans="1:11" s="25" customFormat="1" ht="12.75" customHeight="1">
      <c r="A241" s="64"/>
      <c r="C241" s="65"/>
      <c r="D241" s="65"/>
      <c r="E241" s="65"/>
      <c r="F241" s="65"/>
      <c r="G241" s="65"/>
      <c r="H241" s="65"/>
      <c r="I241" s="65"/>
      <c r="J241" s="65"/>
      <c r="K241" s="65"/>
    </row>
    <row r="242" spans="1:11" s="25" customFormat="1" ht="12.75" customHeight="1">
      <c r="A242" s="64"/>
      <c r="C242" s="65"/>
      <c r="D242" s="65"/>
      <c r="E242" s="65"/>
      <c r="F242" s="65"/>
      <c r="G242" s="65"/>
      <c r="H242" s="65"/>
      <c r="I242" s="65"/>
      <c r="J242" s="65"/>
      <c r="K242" s="65"/>
    </row>
    <row r="243" spans="1:11" s="25" customFormat="1" ht="12.75" customHeight="1">
      <c r="A243" s="64"/>
      <c r="C243" s="65"/>
      <c r="D243" s="65"/>
      <c r="E243" s="65"/>
      <c r="F243" s="65"/>
      <c r="G243" s="65"/>
      <c r="H243" s="65"/>
      <c r="I243" s="65"/>
      <c r="J243" s="65"/>
      <c r="K243" s="65"/>
    </row>
    <row r="244" spans="1:11" s="25" customFormat="1" ht="12.75" customHeight="1">
      <c r="A244" s="64"/>
      <c r="C244" s="65"/>
      <c r="D244" s="65"/>
      <c r="E244" s="65"/>
      <c r="F244" s="65"/>
      <c r="G244" s="65"/>
      <c r="H244" s="65"/>
      <c r="I244" s="65"/>
      <c r="J244" s="65"/>
      <c r="K244" s="65"/>
    </row>
    <row r="245" spans="1:11" s="25" customFormat="1" ht="12.75" customHeight="1">
      <c r="A245" s="64"/>
      <c r="C245" s="65"/>
      <c r="D245" s="65"/>
      <c r="E245" s="65"/>
      <c r="F245" s="65"/>
      <c r="G245" s="65"/>
      <c r="H245" s="65"/>
      <c r="I245" s="65"/>
      <c r="J245" s="65"/>
      <c r="K245" s="65"/>
    </row>
    <row r="246" spans="1:11" s="25" customFormat="1" ht="12.75" customHeight="1">
      <c r="A246" s="64"/>
      <c r="C246" s="65"/>
      <c r="D246" s="65"/>
      <c r="E246" s="65"/>
      <c r="F246" s="65"/>
      <c r="G246" s="65"/>
      <c r="H246" s="65"/>
      <c r="I246" s="65"/>
      <c r="J246" s="65"/>
      <c r="K246" s="65"/>
    </row>
    <row r="247" spans="1:11" s="25" customFormat="1" ht="12.75" customHeight="1">
      <c r="A247" s="64"/>
      <c r="C247" s="65"/>
      <c r="D247" s="65"/>
      <c r="E247" s="65"/>
      <c r="F247" s="65"/>
      <c r="G247" s="65"/>
      <c r="H247" s="65"/>
      <c r="I247" s="65"/>
      <c r="J247" s="65"/>
      <c r="K247" s="65"/>
    </row>
    <row r="248" spans="1:11" s="25" customFormat="1" ht="12.75" customHeight="1">
      <c r="A248" s="64"/>
      <c r="C248" s="65"/>
      <c r="D248" s="65"/>
      <c r="E248" s="65"/>
      <c r="F248" s="65"/>
      <c r="G248" s="65"/>
      <c r="H248" s="65"/>
      <c r="I248" s="65"/>
      <c r="J248" s="65"/>
      <c r="K248" s="65"/>
    </row>
    <row r="249" spans="1:11" s="25" customFormat="1" ht="12.75" customHeight="1">
      <c r="A249" s="64"/>
      <c r="C249" s="65"/>
      <c r="D249" s="65"/>
      <c r="E249" s="65"/>
      <c r="F249" s="65"/>
      <c r="G249" s="65"/>
      <c r="H249" s="65"/>
      <c r="I249" s="65"/>
      <c r="J249" s="65"/>
      <c r="K249" s="65"/>
    </row>
    <row r="250" spans="1:11" s="25" customFormat="1" ht="12.75" customHeight="1">
      <c r="A250" s="64"/>
      <c r="C250" s="65"/>
      <c r="D250" s="65"/>
      <c r="E250" s="65"/>
      <c r="F250" s="65"/>
      <c r="G250" s="65"/>
      <c r="H250" s="65"/>
      <c r="I250" s="65"/>
      <c r="J250" s="65"/>
      <c r="K250" s="65"/>
    </row>
    <row r="251" spans="1:11" s="25" customFormat="1" ht="12.75" customHeight="1">
      <c r="A251" s="64"/>
      <c r="C251" s="65"/>
      <c r="D251" s="65"/>
      <c r="E251" s="65"/>
      <c r="F251" s="65"/>
      <c r="G251" s="65"/>
      <c r="H251" s="65"/>
      <c r="I251" s="65"/>
      <c r="J251" s="65"/>
      <c r="K251" s="65"/>
    </row>
    <row r="252" spans="1:11" s="25" customFormat="1" ht="12.75" customHeight="1">
      <c r="A252" s="64"/>
      <c r="C252" s="65"/>
      <c r="D252" s="65"/>
      <c r="E252" s="65"/>
      <c r="F252" s="65"/>
      <c r="G252" s="65"/>
      <c r="H252" s="65"/>
      <c r="I252" s="65"/>
      <c r="J252" s="65"/>
      <c r="K252" s="65"/>
    </row>
    <row r="253" spans="1:11" s="25" customFormat="1" ht="12.75" customHeight="1">
      <c r="A253" s="64"/>
      <c r="C253" s="65"/>
      <c r="D253" s="65"/>
      <c r="E253" s="65"/>
      <c r="F253" s="65"/>
      <c r="G253" s="65"/>
      <c r="H253" s="65"/>
      <c r="I253" s="65"/>
      <c r="J253" s="65"/>
      <c r="K253" s="65"/>
    </row>
    <row r="254" spans="1:11" s="25" customFormat="1" ht="12.75" customHeight="1">
      <c r="A254" s="64"/>
      <c r="C254" s="65"/>
      <c r="D254" s="65"/>
      <c r="E254" s="65"/>
      <c r="F254" s="65"/>
      <c r="G254" s="65"/>
      <c r="H254" s="65"/>
      <c r="I254" s="65"/>
      <c r="J254" s="65"/>
      <c r="K254" s="65"/>
    </row>
    <row r="255" spans="1:11" s="25" customFormat="1" ht="12.75" customHeight="1">
      <c r="A255" s="64"/>
      <c r="C255" s="65"/>
      <c r="D255" s="65"/>
      <c r="E255" s="65"/>
      <c r="F255" s="65"/>
      <c r="G255" s="65"/>
      <c r="H255" s="65"/>
      <c r="I255" s="65"/>
      <c r="J255" s="65"/>
      <c r="K255" s="65"/>
    </row>
    <row r="256" spans="1:11" s="25" customFormat="1" ht="12.75" customHeight="1">
      <c r="A256" s="64"/>
      <c r="C256" s="65"/>
      <c r="D256" s="65"/>
      <c r="E256" s="65"/>
      <c r="F256" s="65"/>
      <c r="G256" s="65"/>
      <c r="H256" s="65"/>
      <c r="I256" s="65"/>
      <c r="J256" s="65"/>
      <c r="K256" s="65"/>
    </row>
    <row r="257" spans="1:11" s="25" customFormat="1" ht="12.75" customHeight="1">
      <c r="A257" s="64"/>
      <c r="C257" s="65"/>
      <c r="D257" s="65"/>
      <c r="E257" s="65"/>
      <c r="F257" s="65"/>
      <c r="G257" s="65"/>
      <c r="H257" s="65"/>
      <c r="I257" s="65"/>
      <c r="J257" s="65"/>
      <c r="K257" s="65"/>
    </row>
    <row r="258" spans="1:11" s="25" customFormat="1" ht="12.75" customHeight="1">
      <c r="A258" s="64"/>
      <c r="C258" s="65"/>
      <c r="D258" s="65"/>
      <c r="E258" s="65"/>
      <c r="F258" s="65"/>
      <c r="G258" s="65"/>
      <c r="H258" s="65"/>
      <c r="I258" s="65"/>
      <c r="J258" s="65"/>
      <c r="K258" s="65"/>
    </row>
    <row r="259" spans="1:11" s="25" customFormat="1" ht="12.75" customHeight="1">
      <c r="A259" s="64"/>
      <c r="C259" s="65"/>
      <c r="D259" s="65"/>
      <c r="E259" s="65"/>
      <c r="F259" s="65"/>
      <c r="G259" s="65"/>
      <c r="H259" s="65"/>
      <c r="I259" s="65"/>
      <c r="J259" s="65"/>
      <c r="K259" s="65"/>
    </row>
    <row r="260" spans="1:11" s="25" customFormat="1" ht="12.75" customHeight="1">
      <c r="A260" s="64"/>
      <c r="C260" s="65"/>
      <c r="D260" s="65"/>
      <c r="E260" s="65"/>
      <c r="F260" s="65"/>
      <c r="G260" s="65"/>
      <c r="H260" s="65"/>
      <c r="I260" s="65"/>
      <c r="J260" s="65"/>
      <c r="K260" s="65"/>
    </row>
    <row r="261" spans="1:11" s="25" customFormat="1" ht="12.75" customHeight="1">
      <c r="A261" s="64"/>
      <c r="C261" s="65"/>
      <c r="D261" s="65"/>
      <c r="E261" s="65"/>
      <c r="F261" s="65"/>
      <c r="G261" s="65"/>
      <c r="H261" s="65"/>
      <c r="I261" s="65"/>
      <c r="J261" s="65"/>
      <c r="K261" s="65"/>
    </row>
    <row r="262" spans="1:11" s="25" customFormat="1" ht="12.75" customHeight="1">
      <c r="A262" s="64"/>
      <c r="C262" s="65"/>
      <c r="D262" s="65"/>
      <c r="E262" s="65"/>
      <c r="F262" s="65"/>
      <c r="G262" s="65"/>
      <c r="H262" s="65"/>
      <c r="I262" s="65"/>
      <c r="J262" s="65"/>
      <c r="K262" s="65"/>
    </row>
    <row r="263" spans="1:11" s="25" customFormat="1" ht="12.75" customHeight="1">
      <c r="A263" s="64"/>
      <c r="C263" s="65"/>
      <c r="D263" s="65"/>
      <c r="E263" s="65"/>
      <c r="F263" s="65"/>
      <c r="G263" s="65"/>
      <c r="H263" s="65"/>
      <c r="I263" s="65"/>
      <c r="J263" s="65"/>
      <c r="K263" s="65"/>
    </row>
    <row r="264" spans="1:11" s="25" customFormat="1" ht="12.75" customHeight="1">
      <c r="A264" s="64"/>
      <c r="C264" s="65"/>
      <c r="D264" s="65"/>
      <c r="E264" s="65"/>
      <c r="F264" s="65"/>
      <c r="G264" s="65"/>
      <c r="H264" s="65"/>
      <c r="I264" s="65"/>
      <c r="J264" s="65"/>
      <c r="K264" s="65"/>
    </row>
    <row r="265" spans="1:11" s="25" customFormat="1" ht="12.75" customHeight="1">
      <c r="A265" s="64"/>
      <c r="C265" s="65"/>
      <c r="D265" s="65"/>
      <c r="E265" s="65"/>
      <c r="F265" s="65"/>
      <c r="G265" s="65"/>
      <c r="H265" s="65"/>
      <c r="I265" s="65"/>
      <c r="J265" s="65"/>
      <c r="K265" s="65"/>
    </row>
    <row r="266" spans="1:11" s="25" customFormat="1" ht="12.75" customHeight="1">
      <c r="A266" s="64"/>
      <c r="C266" s="65"/>
      <c r="D266" s="65"/>
      <c r="E266" s="65"/>
      <c r="F266" s="65"/>
      <c r="G266" s="65"/>
      <c r="H266" s="65"/>
      <c r="I266" s="65"/>
      <c r="J266" s="65"/>
      <c r="K266" s="65"/>
    </row>
    <row r="267" spans="1:11" s="25" customFormat="1" ht="12.75" customHeight="1">
      <c r="A267" s="64"/>
      <c r="C267" s="65"/>
      <c r="D267" s="65"/>
      <c r="E267" s="65"/>
      <c r="F267" s="65"/>
      <c r="G267" s="65"/>
      <c r="H267" s="65"/>
      <c r="I267" s="65"/>
      <c r="J267" s="65"/>
      <c r="K267" s="65"/>
    </row>
    <row r="268" spans="1:11" s="25" customFormat="1" ht="12.75" customHeight="1">
      <c r="A268" s="64"/>
      <c r="C268" s="65"/>
      <c r="D268" s="65"/>
      <c r="E268" s="65"/>
      <c r="F268" s="65"/>
      <c r="G268" s="65"/>
      <c r="H268" s="65"/>
      <c r="I268" s="65"/>
      <c r="J268" s="65"/>
      <c r="K268" s="65"/>
    </row>
    <row r="269" spans="1:11" s="25" customFormat="1" ht="12.75" customHeight="1">
      <c r="A269" s="64"/>
      <c r="C269" s="65"/>
      <c r="D269" s="65"/>
      <c r="E269" s="65"/>
      <c r="F269" s="65"/>
      <c r="G269" s="65"/>
      <c r="H269" s="65"/>
      <c r="I269" s="65"/>
      <c r="J269" s="65"/>
      <c r="K269" s="65"/>
    </row>
    <row r="270" spans="1:11" s="25" customFormat="1" ht="12.75" customHeight="1">
      <c r="A270" s="64"/>
      <c r="C270" s="65"/>
      <c r="D270" s="65"/>
      <c r="E270" s="65"/>
      <c r="F270" s="65"/>
      <c r="G270" s="65"/>
      <c r="H270" s="65"/>
      <c r="I270" s="65"/>
      <c r="J270" s="65"/>
      <c r="K270" s="65"/>
    </row>
    <row r="271" spans="1:11" s="25" customFormat="1" ht="12.75" customHeight="1">
      <c r="A271" s="64"/>
      <c r="C271" s="65"/>
      <c r="D271" s="65"/>
      <c r="E271" s="65"/>
      <c r="F271" s="65"/>
      <c r="G271" s="65"/>
      <c r="H271" s="65"/>
      <c r="I271" s="65"/>
      <c r="J271" s="65"/>
      <c r="K271" s="65"/>
    </row>
    <row r="272" spans="1:11" s="25" customFormat="1" ht="12.75" customHeight="1">
      <c r="A272" s="64"/>
      <c r="C272" s="65"/>
      <c r="D272" s="65"/>
      <c r="E272" s="65"/>
      <c r="F272" s="65"/>
      <c r="G272" s="65"/>
      <c r="H272" s="65"/>
      <c r="I272" s="65"/>
      <c r="J272" s="65"/>
      <c r="K272" s="65"/>
    </row>
    <row r="273" spans="1:11" s="25" customFormat="1" ht="12.75" customHeight="1">
      <c r="A273" s="64"/>
      <c r="C273" s="65"/>
      <c r="D273" s="65"/>
      <c r="E273" s="65"/>
      <c r="F273" s="65"/>
      <c r="G273" s="65"/>
      <c r="H273" s="65"/>
      <c r="I273" s="65"/>
      <c r="J273" s="65"/>
      <c r="K273" s="65"/>
    </row>
    <row r="274" spans="1:11" s="25" customFormat="1" ht="12.75" customHeight="1">
      <c r="A274" s="64"/>
      <c r="C274" s="65"/>
      <c r="D274" s="65"/>
      <c r="E274" s="65"/>
      <c r="F274" s="65"/>
      <c r="G274" s="65"/>
      <c r="H274" s="65"/>
      <c r="I274" s="65"/>
      <c r="J274" s="65"/>
      <c r="K274" s="65"/>
    </row>
    <row r="275" spans="1:11" s="25" customFormat="1" ht="12.75" customHeight="1">
      <c r="A275" s="64"/>
      <c r="C275" s="65"/>
      <c r="D275" s="65"/>
      <c r="E275" s="65"/>
      <c r="F275" s="65"/>
      <c r="G275" s="65"/>
      <c r="H275" s="65"/>
      <c r="I275" s="65"/>
      <c r="J275" s="65"/>
      <c r="K275" s="65"/>
    </row>
    <row r="276" spans="1:11" s="25" customFormat="1" ht="12.75" customHeight="1">
      <c r="A276" s="64"/>
      <c r="C276" s="65"/>
      <c r="D276" s="65"/>
      <c r="E276" s="65"/>
      <c r="F276" s="65"/>
      <c r="G276" s="65"/>
      <c r="H276" s="65"/>
      <c r="I276" s="65"/>
      <c r="J276" s="65"/>
      <c r="K276" s="65"/>
    </row>
    <row r="277" spans="1:11" s="25" customFormat="1" ht="12.75" customHeight="1">
      <c r="A277" s="64"/>
      <c r="C277" s="65"/>
      <c r="D277" s="65"/>
      <c r="E277" s="65"/>
      <c r="F277" s="65"/>
      <c r="G277" s="65"/>
      <c r="H277" s="65"/>
      <c r="I277" s="65"/>
      <c r="J277" s="65"/>
      <c r="K277" s="65"/>
    </row>
    <row r="278" spans="1:11" s="25" customFormat="1" ht="12.75" customHeight="1">
      <c r="A278" s="64"/>
      <c r="C278" s="65"/>
      <c r="D278" s="65"/>
      <c r="E278" s="65"/>
      <c r="F278" s="65"/>
      <c r="G278" s="65"/>
      <c r="H278" s="65"/>
      <c r="I278" s="65"/>
      <c r="J278" s="65"/>
      <c r="K278" s="65"/>
    </row>
    <row r="279" spans="1:11" s="25" customFormat="1" ht="12.75" customHeight="1">
      <c r="A279" s="64"/>
      <c r="C279" s="65"/>
      <c r="D279" s="65"/>
      <c r="E279" s="65"/>
      <c r="F279" s="65"/>
      <c r="G279" s="65"/>
      <c r="H279" s="65"/>
      <c r="I279" s="65"/>
      <c r="J279" s="65"/>
      <c r="K279" s="65"/>
    </row>
    <row r="280" spans="1:11" s="25" customFormat="1" ht="12.75" customHeight="1">
      <c r="A280" s="64"/>
      <c r="C280" s="65"/>
      <c r="D280" s="65"/>
      <c r="E280" s="65"/>
      <c r="F280" s="65"/>
      <c r="G280" s="65"/>
      <c r="H280" s="65"/>
      <c r="I280" s="65"/>
      <c r="J280" s="65"/>
      <c r="K280" s="65"/>
    </row>
    <row r="281" spans="1:11" s="25" customFormat="1" ht="12.75" customHeight="1">
      <c r="A281" s="64"/>
      <c r="C281" s="65"/>
      <c r="D281" s="65"/>
      <c r="E281" s="65"/>
      <c r="F281" s="65"/>
      <c r="G281" s="65"/>
      <c r="H281" s="65"/>
      <c r="I281" s="65"/>
      <c r="J281" s="65"/>
      <c r="K281" s="65"/>
    </row>
    <row r="282" spans="1:11" s="25" customFormat="1" ht="12.75" customHeight="1">
      <c r="A282" s="64"/>
      <c r="C282" s="65"/>
      <c r="D282" s="65"/>
      <c r="E282" s="65"/>
      <c r="F282" s="65"/>
      <c r="G282" s="65"/>
      <c r="H282" s="65"/>
      <c r="I282" s="65"/>
      <c r="J282" s="65"/>
      <c r="K282" s="65"/>
    </row>
    <row r="283" spans="1:11" s="25" customFormat="1" ht="12.75" customHeight="1">
      <c r="A283" s="64"/>
      <c r="C283" s="65"/>
      <c r="D283" s="65"/>
      <c r="E283" s="65"/>
      <c r="F283" s="65"/>
      <c r="G283" s="65"/>
      <c r="H283" s="65"/>
      <c r="I283" s="65"/>
      <c r="J283" s="65"/>
      <c r="K283" s="65"/>
    </row>
    <row r="284" spans="1:11" s="25" customFormat="1" ht="12.75" customHeight="1">
      <c r="A284" s="64"/>
      <c r="C284" s="65"/>
      <c r="D284" s="65"/>
      <c r="E284" s="65"/>
      <c r="F284" s="65"/>
      <c r="G284" s="65"/>
      <c r="H284" s="65"/>
      <c r="I284" s="65"/>
      <c r="J284" s="65"/>
      <c r="K284" s="65"/>
    </row>
    <row r="285" spans="1:11" s="25" customFormat="1" ht="12.75" customHeight="1">
      <c r="A285" s="64"/>
      <c r="C285" s="65"/>
      <c r="D285" s="65"/>
      <c r="E285" s="65"/>
      <c r="F285" s="65"/>
      <c r="G285" s="65"/>
      <c r="H285" s="65"/>
      <c r="I285" s="65"/>
      <c r="J285" s="65"/>
      <c r="K285" s="65"/>
    </row>
    <row r="286" spans="1:11" s="25" customFormat="1" ht="12.75" customHeight="1">
      <c r="A286" s="64"/>
      <c r="C286" s="65"/>
      <c r="D286" s="65"/>
      <c r="E286" s="65"/>
      <c r="F286" s="65"/>
      <c r="G286" s="65"/>
      <c r="H286" s="65"/>
      <c r="I286" s="65"/>
      <c r="J286" s="65"/>
      <c r="K286" s="65"/>
    </row>
    <row r="287" spans="1:11" s="25" customFormat="1" ht="12.75" customHeight="1">
      <c r="A287" s="64"/>
      <c r="C287" s="65"/>
      <c r="D287" s="65"/>
      <c r="E287" s="65"/>
      <c r="F287" s="65"/>
      <c r="G287" s="65"/>
      <c r="H287" s="65"/>
      <c r="I287" s="65"/>
      <c r="J287" s="65"/>
      <c r="K287" s="65"/>
    </row>
    <row r="288" spans="1:11" s="25" customFormat="1" ht="12.75" customHeight="1">
      <c r="A288" s="64"/>
      <c r="C288" s="65"/>
      <c r="D288" s="65"/>
      <c r="E288" s="65"/>
      <c r="F288" s="65"/>
      <c r="G288" s="65"/>
      <c r="H288" s="65"/>
      <c r="I288" s="65"/>
      <c r="J288" s="65"/>
      <c r="K288" s="65"/>
    </row>
    <row r="289" spans="1:11" s="25" customFormat="1" ht="12.75" customHeight="1">
      <c r="A289" s="64"/>
      <c r="C289" s="65"/>
      <c r="D289" s="65"/>
      <c r="E289" s="65"/>
      <c r="F289" s="65"/>
      <c r="G289" s="65"/>
      <c r="H289" s="65"/>
      <c r="I289" s="65"/>
      <c r="J289" s="65"/>
      <c r="K289" s="65"/>
    </row>
    <row r="290" spans="1:11" s="25" customFormat="1" ht="12.75" customHeight="1">
      <c r="A290" s="64"/>
      <c r="C290" s="65"/>
      <c r="D290" s="65"/>
      <c r="E290" s="65"/>
      <c r="F290" s="65"/>
      <c r="G290" s="65"/>
      <c r="H290" s="65"/>
      <c r="I290" s="65"/>
      <c r="J290" s="65"/>
      <c r="K290" s="65"/>
    </row>
    <row r="291" spans="1:11" s="25" customFormat="1" ht="12.75" customHeight="1">
      <c r="A291" s="64"/>
      <c r="C291" s="65"/>
      <c r="D291" s="65"/>
      <c r="E291" s="65"/>
      <c r="F291" s="65"/>
      <c r="G291" s="65"/>
      <c r="H291" s="65"/>
      <c r="I291" s="65"/>
      <c r="J291" s="65"/>
      <c r="K291" s="65"/>
    </row>
    <row r="292" spans="1:11" s="25" customFormat="1" ht="12.75" customHeight="1">
      <c r="A292" s="64"/>
      <c r="C292" s="65"/>
      <c r="D292" s="65"/>
      <c r="E292" s="65"/>
      <c r="F292" s="65"/>
      <c r="G292" s="65"/>
      <c r="H292" s="65"/>
      <c r="I292" s="65"/>
      <c r="J292" s="65"/>
      <c r="K292" s="65"/>
    </row>
    <row r="293" spans="1:11" s="25" customFormat="1" ht="12.75" customHeight="1">
      <c r="A293" s="64"/>
      <c r="C293" s="65"/>
      <c r="D293" s="65"/>
      <c r="E293" s="65"/>
      <c r="F293" s="65"/>
      <c r="G293" s="65"/>
      <c r="H293" s="65"/>
      <c r="I293" s="65"/>
      <c r="J293" s="65"/>
      <c r="K293" s="65"/>
    </row>
    <row r="294" spans="1:11" s="25" customFormat="1" ht="12.75" customHeight="1">
      <c r="A294" s="64"/>
      <c r="C294" s="65"/>
      <c r="D294" s="65"/>
      <c r="E294" s="65"/>
      <c r="F294" s="65"/>
      <c r="G294" s="65"/>
      <c r="H294" s="65"/>
      <c r="I294" s="65"/>
      <c r="J294" s="65"/>
      <c r="K294" s="65"/>
    </row>
    <row r="295" spans="1:11" s="25" customFormat="1" ht="12.75" customHeight="1">
      <c r="A295" s="64"/>
      <c r="C295" s="65"/>
      <c r="D295" s="65"/>
      <c r="E295" s="65"/>
      <c r="F295" s="65"/>
      <c r="G295" s="65"/>
      <c r="H295" s="65"/>
      <c r="I295" s="65"/>
      <c r="J295" s="65"/>
      <c r="K295" s="65"/>
    </row>
    <row r="296" spans="1:11" s="25" customFormat="1" ht="12.75" customHeight="1">
      <c r="A296" s="64"/>
      <c r="C296" s="65"/>
      <c r="D296" s="65"/>
      <c r="E296" s="65"/>
      <c r="F296" s="65"/>
      <c r="G296" s="65"/>
      <c r="H296" s="65"/>
      <c r="I296" s="65"/>
      <c r="J296" s="65"/>
      <c r="K296" s="65"/>
    </row>
    <row r="297" spans="1:11" s="25" customFormat="1" ht="12.75" customHeight="1">
      <c r="A297" s="64"/>
      <c r="C297" s="65"/>
      <c r="D297" s="65"/>
      <c r="E297" s="65"/>
      <c r="F297" s="65"/>
      <c r="G297" s="65"/>
      <c r="H297" s="65"/>
      <c r="I297" s="65"/>
      <c r="J297" s="65"/>
      <c r="K297" s="65"/>
    </row>
    <row r="298" spans="1:11" s="25" customFormat="1" ht="12.75" customHeight="1">
      <c r="A298" s="64"/>
      <c r="C298" s="65"/>
      <c r="D298" s="65"/>
      <c r="E298" s="65"/>
      <c r="F298" s="65"/>
      <c r="G298" s="65"/>
      <c r="H298" s="65"/>
      <c r="I298" s="65"/>
      <c r="J298" s="65"/>
      <c r="K298" s="65"/>
    </row>
    <row r="299" spans="1:11" s="25" customFormat="1" ht="12.75" customHeight="1">
      <c r="A299" s="64"/>
      <c r="C299" s="65"/>
      <c r="D299" s="65"/>
      <c r="E299" s="65"/>
      <c r="F299" s="65"/>
      <c r="G299" s="65"/>
      <c r="H299" s="65"/>
      <c r="I299" s="65"/>
      <c r="J299" s="65"/>
      <c r="K299" s="65"/>
    </row>
    <row r="300" spans="1:11" s="25" customFormat="1" ht="12.75" customHeight="1">
      <c r="A300" s="64"/>
      <c r="C300" s="65"/>
      <c r="D300" s="65"/>
      <c r="E300" s="65"/>
      <c r="F300" s="65"/>
      <c r="G300" s="65"/>
      <c r="H300" s="65"/>
      <c r="I300" s="65"/>
      <c r="J300" s="65"/>
      <c r="K300" s="65"/>
    </row>
    <row r="301" spans="1:11" s="25" customFormat="1" ht="12.75" customHeight="1">
      <c r="A301" s="64"/>
      <c r="C301" s="65"/>
      <c r="D301" s="65"/>
      <c r="E301" s="65"/>
      <c r="F301" s="65"/>
      <c r="G301" s="65"/>
      <c r="H301" s="65"/>
      <c r="I301" s="65"/>
      <c r="J301" s="65"/>
      <c r="K301" s="65"/>
    </row>
    <row r="302" spans="1:11" s="25" customFormat="1" ht="12.75" customHeight="1">
      <c r="A302" s="64"/>
      <c r="C302" s="65"/>
      <c r="D302" s="65"/>
      <c r="E302" s="65"/>
      <c r="F302" s="65"/>
      <c r="G302" s="65"/>
      <c r="H302" s="65"/>
      <c r="I302" s="65"/>
      <c r="J302" s="65"/>
      <c r="K302" s="65"/>
    </row>
  </sheetData>
  <pageMargins left="0" right="0" top="0.74803149606299202" bottom="0" header="0" footer="0"/>
  <pageSetup paperSize="9" scale="5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ДЧБ</vt:lpstr>
      <vt:lpstr>ДЧБ!APPT</vt:lpstr>
      <vt:lpstr>ДЧБ!FIO</vt:lpstr>
      <vt:lpstr>ДЧБ!SIGN</vt:lpstr>
      <vt:lpstr>ДЧБ!Заголовки_для_печати</vt:lpstr>
      <vt:lpstr>ДЧБ!Область_печати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Анжелика Фисюк</dc:creator>
  <dc:description>POI HSSF rep:2.56.0.334 (p4)</dc:description>
  <cp:lastModifiedBy>Виктория Скрипченко</cp:lastModifiedBy>
  <cp:lastPrinted>2025-09-08T00:03:35Z</cp:lastPrinted>
  <dcterms:created xsi:type="dcterms:W3CDTF">2025-01-14T08:02:00Z</dcterms:created>
  <dcterms:modified xsi:type="dcterms:W3CDTF">2025-09-08T05:26:55Z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2DAEA8AAC6D541EFB30A2C6B71198899_13</vt:lpwstr>
  </property>
  <property fmtid="{D5CDD505-2E9C-101B-9397-08002B2CF9AE}" pid="3" name="KSOProductBuildVer">
    <vt:lpwstr>1049-12.2.0.22549</vt:lpwstr>
  </property>
</Properties>
</file>